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Sveučilište u Zagrebu, Geotehnički fakultet\Desktop\"/>
    </mc:Choice>
  </mc:AlternateContent>
  <xr:revisionPtr revIDLastSave="0" documentId="13_ncr:1_{0C631D18-721C-4BB1-8609-4B493200C5A9}" xr6:coauthVersionLast="47" xr6:coauthVersionMax="47" xr10:uidLastSave="{00000000-0000-0000-0000-000000000000}"/>
  <bookViews>
    <workbookView xWindow="28680" yWindow="-120" windowWidth="29040" windowHeight="15840" xr2:uid="{43C1EECE-E2A3-4BEA-A94E-BBE6D2D3941B}"/>
  </bookViews>
  <sheets>
    <sheet name="Pokus broj 1." sheetId="1" r:id="rId1"/>
    <sheet name="Pokus broj 2." sheetId="6" r:id="rId2"/>
    <sheet name="Pokus broj 3." sheetId="8" r:id="rId3"/>
    <sheet name="Pokus broj 4." sheetId="9" r:id="rId4"/>
    <sheet name="Pokus broj 5." sheetId="11" r:id="rId5"/>
    <sheet name="Pokus broj 6." sheetId="12" r:id="rId6"/>
    <sheet name="Pokus broj 7." sheetId="20" r:id="rId7"/>
    <sheet name="Pokus broj 8." sheetId="21" r:id="rId8"/>
    <sheet name="Pokus broj 9." sheetId="22" r:id="rId9"/>
    <sheet name="Pokus broj 10." sheetId="23" r:id="rId10"/>
    <sheet name="Pokus broj 11." sheetId="24" r:id="rId11"/>
    <sheet name="Pokus broj 12." sheetId="25" r:id="rId12"/>
    <sheet name="Pokus broj 13." sheetId="26" r:id="rId13"/>
    <sheet name="Pokus br. 14." sheetId="38" r:id="rId14"/>
    <sheet name="Pokus br. 15." sheetId="36" r:id="rId15"/>
    <sheet name="Pokus br. 16" sheetId="39" r:id="rId16"/>
    <sheet name="Pokus br. 17" sheetId="40" r:id="rId17"/>
    <sheet name="Pokus br. 18" sheetId="41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41" l="1"/>
  <c r="V9" i="41"/>
  <c r="V10" i="41"/>
  <c r="V11" i="41"/>
  <c r="V12" i="41"/>
  <c r="V13" i="41"/>
  <c r="V14" i="41"/>
  <c r="V15" i="41"/>
  <c r="V16" i="41"/>
  <c r="V17" i="41"/>
  <c r="V18" i="41"/>
  <c r="V7" i="41"/>
  <c r="S7" i="41"/>
  <c r="U8" i="41" s="1"/>
  <c r="S8" i="41"/>
  <c r="S9" i="41"/>
  <c r="S10" i="41"/>
  <c r="S11" i="41"/>
  <c r="S12" i="41"/>
  <c r="S13" i="41"/>
  <c r="S14" i="41"/>
  <c r="U14" i="41" s="1"/>
  <c r="S15" i="41"/>
  <c r="S16" i="41"/>
  <c r="S17" i="41"/>
  <c r="U17" i="41" s="1"/>
  <c r="S18" i="41"/>
  <c r="S6" i="41"/>
  <c r="X27" i="41"/>
  <c r="AH18" i="41"/>
  <c r="AI18" i="41" s="1"/>
  <c r="AK18" i="41" s="1"/>
  <c r="AH17" i="41"/>
  <c r="AI17" i="41" s="1"/>
  <c r="AK17" i="41" s="1"/>
  <c r="AM17" i="41" s="1"/>
  <c r="AP17" i="41" s="1"/>
  <c r="AH16" i="41"/>
  <c r="AI16" i="41" s="1"/>
  <c r="AK16" i="41" s="1"/>
  <c r="AI15" i="41"/>
  <c r="AK15" i="41" s="1"/>
  <c r="AH15" i="41"/>
  <c r="AI14" i="41"/>
  <c r="AK14" i="41" s="1"/>
  <c r="AH14" i="41"/>
  <c r="AI13" i="41"/>
  <c r="AK13" i="41" s="1"/>
  <c r="AM13" i="41" s="1"/>
  <c r="AP13" i="41" s="1"/>
  <c r="AH13" i="41"/>
  <c r="AI12" i="41"/>
  <c r="AK12" i="41" s="1"/>
  <c r="AH12" i="41"/>
  <c r="U12" i="41"/>
  <c r="AH11" i="41"/>
  <c r="AI11" i="41" s="1"/>
  <c r="AK11" i="41" s="1"/>
  <c r="AM11" i="41" s="1"/>
  <c r="AP11" i="41" s="1"/>
  <c r="AI10" i="41"/>
  <c r="AK10" i="41" s="1"/>
  <c r="AH10" i="41"/>
  <c r="AH9" i="41"/>
  <c r="AI9" i="41" s="1"/>
  <c r="AK9" i="41" s="1"/>
  <c r="AH8" i="41"/>
  <c r="AI8" i="41" s="1"/>
  <c r="AK8" i="41" s="1"/>
  <c r="AI7" i="41"/>
  <c r="AK7" i="41" s="1"/>
  <c r="AH7" i="41"/>
  <c r="AI6" i="41"/>
  <c r="AK6" i="41" s="1"/>
  <c r="AN6" i="41" s="1"/>
  <c r="Y8" i="40"/>
  <c r="Y9" i="40"/>
  <c r="Y10" i="40"/>
  <c r="Y11" i="40"/>
  <c r="Y12" i="40"/>
  <c r="Y13" i="40"/>
  <c r="Y14" i="40"/>
  <c r="Y15" i="40"/>
  <c r="Y16" i="40"/>
  <c r="Y17" i="40"/>
  <c r="Y18" i="40"/>
  <c r="Y19" i="40"/>
  <c r="Y7" i="40"/>
  <c r="V8" i="40"/>
  <c r="V9" i="40"/>
  <c r="V10" i="40"/>
  <c r="V11" i="40"/>
  <c r="V12" i="40"/>
  <c r="V13" i="40"/>
  <c r="V14" i="40"/>
  <c r="V15" i="40"/>
  <c r="V16" i="40"/>
  <c r="V17" i="40"/>
  <c r="V18" i="40"/>
  <c r="V19" i="40"/>
  <c r="V7" i="40"/>
  <c r="S7" i="40"/>
  <c r="S8" i="40"/>
  <c r="S9" i="40"/>
  <c r="S10" i="40"/>
  <c r="S11" i="40"/>
  <c r="S12" i="40"/>
  <c r="U13" i="40" s="1"/>
  <c r="S13" i="40"/>
  <c r="S14" i="40"/>
  <c r="U14" i="40" s="1"/>
  <c r="S15" i="40"/>
  <c r="S16" i="40"/>
  <c r="S17" i="40"/>
  <c r="S18" i="40"/>
  <c r="S19" i="40"/>
  <c r="S6" i="40"/>
  <c r="X26" i="40" s="1"/>
  <c r="X27" i="40"/>
  <c r="AH19" i="40"/>
  <c r="AI19" i="40" s="1"/>
  <c r="AK19" i="40" s="1"/>
  <c r="AH18" i="40"/>
  <c r="AI18" i="40" s="1"/>
  <c r="AK18" i="40" s="1"/>
  <c r="U19" i="40"/>
  <c r="AH17" i="40"/>
  <c r="AI17" i="40" s="1"/>
  <c r="AK17" i="40" s="1"/>
  <c r="AH16" i="40"/>
  <c r="AI16" i="40" s="1"/>
  <c r="AK16" i="40" s="1"/>
  <c r="U17" i="40"/>
  <c r="AH15" i="40"/>
  <c r="AI15" i="40" s="1"/>
  <c r="AK15" i="40" s="1"/>
  <c r="AM15" i="40" s="1"/>
  <c r="AP15" i="40" s="1"/>
  <c r="U16" i="40"/>
  <c r="AH14" i="40"/>
  <c r="AI14" i="40" s="1"/>
  <c r="AK14" i="40" s="1"/>
  <c r="AH13" i="40"/>
  <c r="AI13" i="40" s="1"/>
  <c r="AK13" i="40" s="1"/>
  <c r="AM13" i="40" s="1"/>
  <c r="AP13" i="40" s="1"/>
  <c r="AH12" i="40"/>
  <c r="AI12" i="40" s="1"/>
  <c r="AK12" i="40" s="1"/>
  <c r="AH11" i="40"/>
  <c r="AI11" i="40" s="1"/>
  <c r="AK11" i="40" s="1"/>
  <c r="AM11" i="40" s="1"/>
  <c r="AP11" i="40" s="1"/>
  <c r="U12" i="40"/>
  <c r="AI10" i="40"/>
  <c r="AK10" i="40" s="1"/>
  <c r="AM10" i="40" s="1"/>
  <c r="AP10" i="40" s="1"/>
  <c r="AH10" i="40"/>
  <c r="U11" i="40"/>
  <c r="AI9" i="40"/>
  <c r="AK9" i="40" s="1"/>
  <c r="AM9" i="40" s="1"/>
  <c r="AP9" i="40" s="1"/>
  <c r="AH9" i="40"/>
  <c r="U10" i="40"/>
  <c r="AH8" i="40"/>
  <c r="AI8" i="40" s="1"/>
  <c r="AK8" i="40" s="1"/>
  <c r="U9" i="40"/>
  <c r="AH7" i="40"/>
  <c r="AI7" i="40" s="1"/>
  <c r="AK7" i="40" s="1"/>
  <c r="AM7" i="40" s="1"/>
  <c r="AP7" i="40" s="1"/>
  <c r="U8" i="40"/>
  <c r="AI6" i="40"/>
  <c r="AK6" i="40" s="1"/>
  <c r="Y8" i="39"/>
  <c r="Y9" i="39"/>
  <c r="Y10" i="39"/>
  <c r="Y11" i="39"/>
  <c r="Y12" i="39"/>
  <c r="Y13" i="39"/>
  <c r="Y14" i="39"/>
  <c r="Y15" i="39"/>
  <c r="Y16" i="39"/>
  <c r="Y17" i="39"/>
  <c r="Y18" i="39"/>
  <c r="Y7" i="39"/>
  <c r="V8" i="39"/>
  <c r="V9" i="39"/>
  <c r="V10" i="39"/>
  <c r="V11" i="39"/>
  <c r="V12" i="39"/>
  <c r="V13" i="39"/>
  <c r="V14" i="39"/>
  <c r="V15" i="39"/>
  <c r="V16" i="39"/>
  <c r="V17" i="39"/>
  <c r="V18" i="39"/>
  <c r="V7" i="39"/>
  <c r="S7" i="39"/>
  <c r="U8" i="39" s="1"/>
  <c r="S8" i="39"/>
  <c r="S9" i="39"/>
  <c r="S10" i="39"/>
  <c r="S11" i="39"/>
  <c r="S12" i="39"/>
  <c r="S13" i="39"/>
  <c r="S14" i="39"/>
  <c r="U14" i="39" s="1"/>
  <c r="S15" i="39"/>
  <c r="S16" i="39"/>
  <c r="S17" i="39"/>
  <c r="S18" i="39"/>
  <c r="S6" i="39"/>
  <c r="X27" i="39"/>
  <c r="AH18" i="39"/>
  <c r="AI18" i="39" s="1"/>
  <c r="AK18" i="39" s="1"/>
  <c r="AH17" i="39"/>
  <c r="AI17" i="39" s="1"/>
  <c r="AK17" i="39" s="1"/>
  <c r="U18" i="39"/>
  <c r="AH16" i="39"/>
  <c r="AI16" i="39" s="1"/>
  <c r="AK16" i="39" s="1"/>
  <c r="AH15" i="39"/>
  <c r="AI15" i="39" s="1"/>
  <c r="AK15" i="39" s="1"/>
  <c r="AH14" i="39"/>
  <c r="AI14" i="39" s="1"/>
  <c r="AK14" i="39" s="1"/>
  <c r="AH13" i="39"/>
  <c r="AI13" i="39" s="1"/>
  <c r="AK13" i="39" s="1"/>
  <c r="AH12" i="39"/>
  <c r="AI12" i="39" s="1"/>
  <c r="AK12" i="39" s="1"/>
  <c r="AH11" i="39"/>
  <c r="AI11" i="39" s="1"/>
  <c r="AK11" i="39" s="1"/>
  <c r="AH10" i="39"/>
  <c r="AI10" i="39" s="1"/>
  <c r="AK10" i="39" s="1"/>
  <c r="AM10" i="39" s="1"/>
  <c r="AP10" i="39" s="1"/>
  <c r="AH9" i="39"/>
  <c r="AI9" i="39" s="1"/>
  <c r="AK9" i="39" s="1"/>
  <c r="U10" i="39"/>
  <c r="AH8" i="39"/>
  <c r="AI8" i="39" s="1"/>
  <c r="AK8" i="39" s="1"/>
  <c r="AH7" i="39"/>
  <c r="AI7" i="39" s="1"/>
  <c r="AK7" i="39" s="1"/>
  <c r="AI6" i="39"/>
  <c r="AK6" i="39" s="1"/>
  <c r="AN6" i="39" s="1"/>
  <c r="X26" i="36"/>
  <c r="Y8" i="36"/>
  <c r="Y9" i="36"/>
  <c r="Y10" i="36"/>
  <c r="Y11" i="36"/>
  <c r="Y12" i="36"/>
  <c r="Y13" i="36"/>
  <c r="Y14" i="36"/>
  <c r="Y15" i="36"/>
  <c r="Y16" i="36"/>
  <c r="Y17" i="36"/>
  <c r="Y18" i="36"/>
  <c r="Y7" i="36"/>
  <c r="V8" i="36"/>
  <c r="V9" i="36"/>
  <c r="V10" i="36"/>
  <c r="V11" i="36"/>
  <c r="V12" i="36"/>
  <c r="V13" i="36"/>
  <c r="V14" i="36"/>
  <c r="V15" i="36"/>
  <c r="V16" i="36"/>
  <c r="V17" i="36"/>
  <c r="V18" i="36"/>
  <c r="V7" i="36"/>
  <c r="S7" i="36"/>
  <c r="S8" i="36"/>
  <c r="S9" i="36"/>
  <c r="S10" i="36"/>
  <c r="S11" i="36"/>
  <c r="S12" i="36"/>
  <c r="S13" i="36"/>
  <c r="S14" i="36"/>
  <c r="S15" i="36"/>
  <c r="S16" i="36"/>
  <c r="S17" i="36"/>
  <c r="S18" i="36"/>
  <c r="S6" i="36"/>
  <c r="X27" i="36"/>
  <c r="AH18" i="36"/>
  <c r="AI18" i="36" s="1"/>
  <c r="AK18" i="36" s="1"/>
  <c r="AH17" i="36"/>
  <c r="AI17" i="36" s="1"/>
  <c r="AK17" i="36" s="1"/>
  <c r="AH16" i="36"/>
  <c r="AI16" i="36" s="1"/>
  <c r="AK16" i="36" s="1"/>
  <c r="AH15" i="36"/>
  <c r="AI15" i="36" s="1"/>
  <c r="AK15" i="36" s="1"/>
  <c r="AH14" i="36"/>
  <c r="AI14" i="36" s="1"/>
  <c r="AK14" i="36" s="1"/>
  <c r="AH13" i="36"/>
  <c r="AI13" i="36" s="1"/>
  <c r="AK13" i="36" s="1"/>
  <c r="AH12" i="36"/>
  <c r="AI12" i="36" s="1"/>
  <c r="AK12" i="36" s="1"/>
  <c r="AH11" i="36"/>
  <c r="AI11" i="36" s="1"/>
  <c r="AK11" i="36" s="1"/>
  <c r="AH10" i="36"/>
  <c r="AI10" i="36" s="1"/>
  <c r="AK10" i="36" s="1"/>
  <c r="AH9" i="36"/>
  <c r="AI9" i="36" s="1"/>
  <c r="AK9" i="36" s="1"/>
  <c r="AH8" i="36"/>
  <c r="AI8" i="36" s="1"/>
  <c r="AK8" i="36" s="1"/>
  <c r="AH7" i="36"/>
  <c r="AI7" i="36" s="1"/>
  <c r="AK7" i="36" s="1"/>
  <c r="AI6" i="36"/>
  <c r="AK6" i="36" s="1"/>
  <c r="AN6" i="36" s="1"/>
  <c r="X20" i="38"/>
  <c r="Y8" i="38"/>
  <c r="Y9" i="38"/>
  <c r="Y10" i="38"/>
  <c r="Y11" i="38"/>
  <c r="Y12" i="38"/>
  <c r="Y13" i="38"/>
  <c r="Y7" i="38"/>
  <c r="V8" i="38"/>
  <c r="V9" i="38"/>
  <c r="V10" i="38"/>
  <c r="V11" i="38"/>
  <c r="V12" i="38"/>
  <c r="V13" i="38"/>
  <c r="V7" i="38"/>
  <c r="S7" i="38"/>
  <c r="S8" i="38"/>
  <c r="S9" i="38"/>
  <c r="S10" i="38"/>
  <c r="S11" i="38"/>
  <c r="U11" i="38" s="1"/>
  <c r="S12" i="38"/>
  <c r="U13" i="38" s="1"/>
  <c r="S13" i="38"/>
  <c r="S6" i="38"/>
  <c r="X21" i="38"/>
  <c r="AH13" i="38"/>
  <c r="AI13" i="38" s="1"/>
  <c r="AK13" i="38" s="1"/>
  <c r="AH12" i="38"/>
  <c r="AI12" i="38" s="1"/>
  <c r="AK12" i="38" s="1"/>
  <c r="AH11" i="38"/>
  <c r="AI11" i="38" s="1"/>
  <c r="AK11" i="38" s="1"/>
  <c r="AH10" i="38"/>
  <c r="AI10" i="38" s="1"/>
  <c r="AK10" i="38" s="1"/>
  <c r="AH9" i="38"/>
  <c r="AI9" i="38" s="1"/>
  <c r="AK9" i="38" s="1"/>
  <c r="U10" i="38"/>
  <c r="AH8" i="38"/>
  <c r="AI8" i="38" s="1"/>
  <c r="AK8" i="38" s="1"/>
  <c r="AH7" i="38"/>
  <c r="AI7" i="38" s="1"/>
  <c r="AK7" i="38" s="1"/>
  <c r="AI6" i="38"/>
  <c r="AK6" i="38" s="1"/>
  <c r="AN6" i="38" s="1"/>
  <c r="AM15" i="41" l="1"/>
  <c r="AP15" i="41" s="1"/>
  <c r="AM9" i="41"/>
  <c r="AP9" i="41" s="1"/>
  <c r="U18" i="41"/>
  <c r="U10" i="41"/>
  <c r="U16" i="41"/>
  <c r="U9" i="41"/>
  <c r="U11" i="41"/>
  <c r="U13" i="41"/>
  <c r="U15" i="41"/>
  <c r="W15" i="41" s="1"/>
  <c r="U7" i="41"/>
  <c r="AM7" i="41"/>
  <c r="AP7" i="41" s="1"/>
  <c r="AM8" i="41"/>
  <c r="AP8" i="41" s="1"/>
  <c r="AM10" i="41"/>
  <c r="AP10" i="41" s="1"/>
  <c r="AM12" i="41"/>
  <c r="AP12" i="41" s="1"/>
  <c r="AM14" i="41"/>
  <c r="AP14" i="41" s="1"/>
  <c r="AM16" i="41"/>
  <c r="AP16" i="41" s="1"/>
  <c r="AM18" i="41"/>
  <c r="AP18" i="41" s="1"/>
  <c r="W10" i="41"/>
  <c r="Z8" i="41"/>
  <c r="W12" i="41"/>
  <c r="W17" i="41"/>
  <c r="AM6" i="41"/>
  <c r="AP6" i="41" s="1"/>
  <c r="Z6" i="41"/>
  <c r="AA6" i="41" s="1"/>
  <c r="AO6" i="41" s="1"/>
  <c r="X26" i="41"/>
  <c r="X28" i="41" s="1"/>
  <c r="X30" i="41" s="1"/>
  <c r="X28" i="40"/>
  <c r="X30" i="40" s="1"/>
  <c r="U15" i="40"/>
  <c r="AM8" i="40"/>
  <c r="AP8" i="40" s="1"/>
  <c r="AM12" i="40"/>
  <c r="AP12" i="40" s="1"/>
  <c r="AM14" i="40"/>
  <c r="AP14" i="40" s="1"/>
  <c r="U18" i="40"/>
  <c r="AM16" i="40"/>
  <c r="AP16" i="40" s="1"/>
  <c r="AM18" i="40"/>
  <c r="AP18" i="40" s="1"/>
  <c r="U7" i="40"/>
  <c r="AM17" i="40"/>
  <c r="AP17" i="40" s="1"/>
  <c r="Z6" i="40"/>
  <c r="AA6" i="40" s="1"/>
  <c r="AO6" i="40" s="1"/>
  <c r="AN6" i="40"/>
  <c r="AM6" i="40"/>
  <c r="AP6" i="40" s="1"/>
  <c r="AM19" i="40"/>
  <c r="AP19" i="40" s="1"/>
  <c r="Z8" i="40"/>
  <c r="W11" i="40"/>
  <c r="W14" i="40"/>
  <c r="W16" i="40"/>
  <c r="W17" i="40"/>
  <c r="W18" i="40"/>
  <c r="W19" i="40"/>
  <c r="AM11" i="39"/>
  <c r="AP11" i="39" s="1"/>
  <c r="AM15" i="39"/>
  <c r="AP15" i="39" s="1"/>
  <c r="U9" i="39"/>
  <c r="U13" i="39"/>
  <c r="U17" i="39"/>
  <c r="W17" i="39" s="1"/>
  <c r="AM13" i="39"/>
  <c r="AP13" i="39" s="1"/>
  <c r="AM17" i="39"/>
  <c r="AP17" i="39" s="1"/>
  <c r="U11" i="39"/>
  <c r="U15" i="39"/>
  <c r="AM8" i="39"/>
  <c r="AP8" i="39" s="1"/>
  <c r="AM12" i="39"/>
  <c r="AP12" i="39" s="1"/>
  <c r="AM16" i="39"/>
  <c r="AP16" i="39" s="1"/>
  <c r="AM9" i="39"/>
  <c r="AP9" i="39" s="1"/>
  <c r="U12" i="39"/>
  <c r="AM7" i="39"/>
  <c r="AP7" i="39" s="1"/>
  <c r="AM14" i="39"/>
  <c r="AP14" i="39" s="1"/>
  <c r="U16" i="39"/>
  <c r="AM18" i="39"/>
  <c r="AP18" i="39" s="1"/>
  <c r="Z8" i="39"/>
  <c r="U7" i="39"/>
  <c r="Z6" i="39"/>
  <c r="AA6" i="39" s="1"/>
  <c r="AO6" i="39" s="1"/>
  <c r="X26" i="39"/>
  <c r="X28" i="39" s="1"/>
  <c r="X30" i="39" s="1"/>
  <c r="AM6" i="39"/>
  <c r="AP6" i="39" s="1"/>
  <c r="X28" i="36"/>
  <c r="X30" i="36" s="1"/>
  <c r="Z6" i="36"/>
  <c r="AA6" i="36" s="1"/>
  <c r="AO6" i="36" s="1"/>
  <c r="U7" i="36"/>
  <c r="U8" i="36"/>
  <c r="U9" i="36"/>
  <c r="U10" i="36"/>
  <c r="U11" i="36"/>
  <c r="U12" i="36"/>
  <c r="U13" i="36"/>
  <c r="U14" i="36"/>
  <c r="U15" i="36"/>
  <c r="U16" i="36"/>
  <c r="U17" i="36"/>
  <c r="U18" i="36"/>
  <c r="AM6" i="36"/>
  <c r="AP6" i="36" s="1"/>
  <c r="AM7" i="36"/>
  <c r="AP7" i="36" s="1"/>
  <c r="AM8" i="36"/>
  <c r="AP8" i="36" s="1"/>
  <c r="AM9" i="36"/>
  <c r="AP9" i="36" s="1"/>
  <c r="AM10" i="36"/>
  <c r="AP10" i="36" s="1"/>
  <c r="AM11" i="36"/>
  <c r="AP11" i="36" s="1"/>
  <c r="AM12" i="36"/>
  <c r="AP12" i="36" s="1"/>
  <c r="AM13" i="36"/>
  <c r="AP13" i="36" s="1"/>
  <c r="AM14" i="36"/>
  <c r="AP14" i="36" s="1"/>
  <c r="AM15" i="36"/>
  <c r="AP15" i="36" s="1"/>
  <c r="AM16" i="36"/>
  <c r="AP16" i="36" s="1"/>
  <c r="AM17" i="36"/>
  <c r="AP17" i="36" s="1"/>
  <c r="AM18" i="36"/>
  <c r="AP18" i="36" s="1"/>
  <c r="U7" i="38"/>
  <c r="U8" i="38"/>
  <c r="W8" i="38" s="1"/>
  <c r="U12" i="38"/>
  <c r="Z6" i="38"/>
  <c r="AA6" i="38" s="1"/>
  <c r="AO6" i="38" s="1"/>
  <c r="U9" i="38"/>
  <c r="Z9" i="38" s="1"/>
  <c r="W7" i="38"/>
  <c r="AL7" i="38" s="1"/>
  <c r="Z11" i="38"/>
  <c r="W12" i="38"/>
  <c r="W13" i="38"/>
  <c r="AM6" i="38"/>
  <c r="AP6" i="38" s="1"/>
  <c r="AM7" i="38"/>
  <c r="AP7" i="38" s="1"/>
  <c r="AM8" i="38"/>
  <c r="AP8" i="38" s="1"/>
  <c r="AM9" i="38"/>
  <c r="AP9" i="38" s="1"/>
  <c r="AM10" i="38"/>
  <c r="AP10" i="38" s="1"/>
  <c r="AM11" i="38"/>
  <c r="AP11" i="38" s="1"/>
  <c r="AM12" i="38"/>
  <c r="AP12" i="38" s="1"/>
  <c r="AM13" i="38"/>
  <c r="AP13" i="38" s="1"/>
  <c r="X22" i="38"/>
  <c r="X24" i="38" s="1"/>
  <c r="AL7" i="26"/>
  <c r="AL8" i="26"/>
  <c r="AL9" i="26" s="1"/>
  <c r="AL10" i="26" s="1"/>
  <c r="AL11" i="26" s="1"/>
  <c r="AL12" i="26" s="1"/>
  <c r="AL13" i="26" s="1"/>
  <c r="AL14" i="26" s="1"/>
  <c r="AL15" i="26" s="1"/>
  <c r="AL16" i="26" s="1"/>
  <c r="AL17" i="26" s="1"/>
  <c r="AL18" i="26" s="1"/>
  <c r="AL19" i="26" s="1"/>
  <c r="AL20" i="26" s="1"/>
  <c r="S7" i="26"/>
  <c r="S8" i="26"/>
  <c r="S9" i="26"/>
  <c r="S10" i="26"/>
  <c r="S11" i="26"/>
  <c r="U12" i="26" s="1"/>
  <c r="V12" i="26" s="1"/>
  <c r="S12" i="26"/>
  <c r="S13" i="26"/>
  <c r="S14" i="26"/>
  <c r="U14" i="26" s="1"/>
  <c r="V14" i="26" s="1"/>
  <c r="S15" i="26"/>
  <c r="S16" i="26"/>
  <c r="S17" i="26"/>
  <c r="S18" i="26"/>
  <c r="S19" i="26"/>
  <c r="U19" i="26" s="1"/>
  <c r="V19" i="26" s="1"/>
  <c r="S20" i="26"/>
  <c r="S6" i="26"/>
  <c r="V8" i="26"/>
  <c r="V9" i="26"/>
  <c r="V16" i="26"/>
  <c r="V17" i="26"/>
  <c r="X27" i="26"/>
  <c r="AH20" i="26"/>
  <c r="AI20" i="26" s="1"/>
  <c r="AK20" i="26" s="1"/>
  <c r="AH19" i="26"/>
  <c r="AI19" i="26" s="1"/>
  <c r="AK19" i="26" s="1"/>
  <c r="U20" i="26"/>
  <c r="V20" i="26" s="1"/>
  <c r="AH18" i="26"/>
  <c r="AI18" i="26" s="1"/>
  <c r="AK18" i="26" s="1"/>
  <c r="AH17" i="26"/>
  <c r="AI17" i="26" s="1"/>
  <c r="AK17" i="26" s="1"/>
  <c r="U18" i="26"/>
  <c r="V18" i="26" s="1"/>
  <c r="AH16" i="26"/>
  <c r="AI16" i="26" s="1"/>
  <c r="AK16" i="26" s="1"/>
  <c r="U17" i="26"/>
  <c r="AH15" i="26"/>
  <c r="AI15" i="26" s="1"/>
  <c r="AK15" i="26" s="1"/>
  <c r="U16" i="26"/>
  <c r="AH14" i="26"/>
  <c r="AI14" i="26" s="1"/>
  <c r="AK14" i="26" s="1"/>
  <c r="AH13" i="26"/>
  <c r="AI13" i="26" s="1"/>
  <c r="AK13" i="26" s="1"/>
  <c r="AH12" i="26"/>
  <c r="AI12" i="26" s="1"/>
  <c r="AK12" i="26" s="1"/>
  <c r="U13" i="26"/>
  <c r="V13" i="26" s="1"/>
  <c r="AH11" i="26"/>
  <c r="AI11" i="26" s="1"/>
  <c r="AK11" i="26" s="1"/>
  <c r="AH10" i="26"/>
  <c r="AI10" i="26" s="1"/>
  <c r="AK10" i="26" s="1"/>
  <c r="AH9" i="26"/>
  <c r="AI9" i="26" s="1"/>
  <c r="AK9" i="26" s="1"/>
  <c r="AH8" i="26"/>
  <c r="AI8" i="26" s="1"/>
  <c r="AK8" i="26" s="1"/>
  <c r="U9" i="26"/>
  <c r="AH7" i="26"/>
  <c r="AI7" i="26" s="1"/>
  <c r="AK7" i="26" s="1"/>
  <c r="U8" i="26"/>
  <c r="AI6" i="26"/>
  <c r="AK6" i="26" s="1"/>
  <c r="AN6" i="26" s="1"/>
  <c r="Z6" i="26"/>
  <c r="AA6" i="26" s="1"/>
  <c r="AO6" i="26" s="1"/>
  <c r="Y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7" i="25"/>
  <c r="V8" i="25"/>
  <c r="V9" i="25"/>
  <c r="V10" i="25"/>
  <c r="V11" i="25"/>
  <c r="V12" i="25"/>
  <c r="V13" i="25"/>
  <c r="V14" i="25"/>
  <c r="V15" i="25"/>
  <c r="V16" i="25"/>
  <c r="V17" i="25"/>
  <c r="V18" i="25"/>
  <c r="V19" i="25"/>
  <c r="V20" i="25"/>
  <c r="V7" i="25"/>
  <c r="S7" i="25"/>
  <c r="S8" i="25"/>
  <c r="S9" i="25"/>
  <c r="S10" i="25"/>
  <c r="S11" i="25"/>
  <c r="S12" i="25"/>
  <c r="U12" i="25" s="1"/>
  <c r="S13" i="25"/>
  <c r="S14" i="25"/>
  <c r="S15" i="25"/>
  <c r="U15" i="25" s="1"/>
  <c r="S16" i="25"/>
  <c r="U17" i="25" s="1"/>
  <c r="S17" i="25"/>
  <c r="S18" i="25"/>
  <c r="S19" i="25"/>
  <c r="S20" i="25"/>
  <c r="U20" i="25" s="1"/>
  <c r="S6" i="25"/>
  <c r="X27" i="25"/>
  <c r="AH20" i="25"/>
  <c r="AI20" i="25" s="1"/>
  <c r="AK20" i="25" s="1"/>
  <c r="AH19" i="25"/>
  <c r="AI19" i="25" s="1"/>
  <c r="AK19" i="25" s="1"/>
  <c r="AH18" i="25"/>
  <c r="AI18" i="25" s="1"/>
  <c r="AK18" i="25" s="1"/>
  <c r="U19" i="25"/>
  <c r="AH17" i="25"/>
  <c r="AI17" i="25" s="1"/>
  <c r="AK17" i="25" s="1"/>
  <c r="AH16" i="25"/>
  <c r="AI16" i="25" s="1"/>
  <c r="AK16" i="25" s="1"/>
  <c r="AH15" i="25"/>
  <c r="AI15" i="25" s="1"/>
  <c r="AK15" i="25" s="1"/>
  <c r="U16" i="25"/>
  <c r="AH14" i="25"/>
  <c r="AI14" i="25" s="1"/>
  <c r="AK14" i="25" s="1"/>
  <c r="AH13" i="25"/>
  <c r="AI13" i="25" s="1"/>
  <c r="AK13" i="25" s="1"/>
  <c r="AH12" i="25"/>
  <c r="AI12" i="25" s="1"/>
  <c r="AK12" i="25" s="1"/>
  <c r="AH11" i="25"/>
  <c r="AI11" i="25" s="1"/>
  <c r="AK11" i="25" s="1"/>
  <c r="AH10" i="25"/>
  <c r="AI10" i="25" s="1"/>
  <c r="AK10" i="25" s="1"/>
  <c r="U11" i="25"/>
  <c r="AH9" i="25"/>
  <c r="AI9" i="25" s="1"/>
  <c r="AK9" i="25" s="1"/>
  <c r="AH8" i="25"/>
  <c r="AI8" i="25" s="1"/>
  <c r="AK8" i="25" s="1"/>
  <c r="AH7" i="25"/>
  <c r="AI7" i="25" s="1"/>
  <c r="AK7" i="25" s="1"/>
  <c r="AI6" i="25"/>
  <c r="AK6" i="25" s="1"/>
  <c r="AN6" i="25" s="1"/>
  <c r="X36" i="24"/>
  <c r="AH7" i="24"/>
  <c r="AI7" i="24" s="1"/>
  <c r="AK7" i="24" s="1"/>
  <c r="AM7" i="24" s="1"/>
  <c r="AP7" i="24" s="1"/>
  <c r="AH8" i="24"/>
  <c r="AI8" i="24" s="1"/>
  <c r="AK8" i="24" s="1"/>
  <c r="AH9" i="24"/>
  <c r="AI9" i="24" s="1"/>
  <c r="AK9" i="24" s="1"/>
  <c r="AH10" i="24"/>
  <c r="AI10" i="24" s="1"/>
  <c r="AK10" i="24" s="1"/>
  <c r="AH11" i="24"/>
  <c r="AI11" i="24" s="1"/>
  <c r="AK11" i="24" s="1"/>
  <c r="AM11" i="24" s="1"/>
  <c r="AP11" i="24" s="1"/>
  <c r="AH12" i="24"/>
  <c r="AI12" i="24" s="1"/>
  <c r="AK12" i="24" s="1"/>
  <c r="AH13" i="24"/>
  <c r="AI13" i="24" s="1"/>
  <c r="AK13" i="24" s="1"/>
  <c r="AH14" i="24"/>
  <c r="AI14" i="24" s="1"/>
  <c r="AK14" i="24" s="1"/>
  <c r="AH15" i="24"/>
  <c r="AI15" i="24" s="1"/>
  <c r="AK15" i="24" s="1"/>
  <c r="AH16" i="24"/>
  <c r="AI16" i="24" s="1"/>
  <c r="AK16" i="24" s="1"/>
  <c r="AH17" i="24"/>
  <c r="AI17" i="24" s="1"/>
  <c r="AK17" i="24" s="1"/>
  <c r="AM17" i="24" s="1"/>
  <c r="AP17" i="24" s="1"/>
  <c r="AH18" i="24"/>
  <c r="AI18" i="24" s="1"/>
  <c r="AK18" i="24" s="1"/>
  <c r="AH19" i="24"/>
  <c r="AI19" i="24"/>
  <c r="AK19" i="24" s="1"/>
  <c r="AH20" i="24"/>
  <c r="AI20" i="24"/>
  <c r="AK20" i="24" s="1"/>
  <c r="AH21" i="24"/>
  <c r="AI21" i="24"/>
  <c r="AK21" i="24" s="1"/>
  <c r="AH22" i="24"/>
  <c r="AI22" i="24" s="1"/>
  <c r="AK22" i="24" s="1"/>
  <c r="AH23" i="24"/>
  <c r="AI23" i="24" s="1"/>
  <c r="AK23" i="24" s="1"/>
  <c r="AH24" i="24"/>
  <c r="AI24" i="24" s="1"/>
  <c r="AK24" i="24" s="1"/>
  <c r="AH25" i="24"/>
  <c r="AI25" i="24"/>
  <c r="AK25" i="24" s="1"/>
  <c r="AH26" i="24"/>
  <c r="AI26" i="24" s="1"/>
  <c r="AK26" i="24" s="1"/>
  <c r="AH27" i="24"/>
  <c r="AI27" i="24" s="1"/>
  <c r="AK27" i="24" s="1"/>
  <c r="AH28" i="24"/>
  <c r="AI28" i="24" s="1"/>
  <c r="AK28" i="24" s="1"/>
  <c r="AH29" i="24"/>
  <c r="AI29" i="24" s="1"/>
  <c r="AK29" i="24" s="1"/>
  <c r="X29" i="24"/>
  <c r="Y29" i="24" s="1"/>
  <c r="X28" i="24"/>
  <c r="X27" i="24"/>
  <c r="X26" i="24"/>
  <c r="Y26" i="24" s="1"/>
  <c r="X25" i="24"/>
  <c r="Y25" i="24" s="1"/>
  <c r="X24" i="24"/>
  <c r="Y24" i="24" s="1"/>
  <c r="X23" i="24"/>
  <c r="X22" i="24"/>
  <c r="Y22" i="24" s="1"/>
  <c r="X21" i="24"/>
  <c r="Y21" i="24" s="1"/>
  <c r="Y8" i="24"/>
  <c r="Y9" i="24"/>
  <c r="Y10" i="24"/>
  <c r="Y11" i="24"/>
  <c r="Y12" i="24"/>
  <c r="Y13" i="24"/>
  <c r="Y14" i="24"/>
  <c r="Y15" i="24"/>
  <c r="Y16" i="24"/>
  <c r="Y17" i="24"/>
  <c r="Y18" i="24"/>
  <c r="Y19" i="24"/>
  <c r="Y20" i="24"/>
  <c r="Y23" i="24"/>
  <c r="Y27" i="24"/>
  <c r="Y28" i="24"/>
  <c r="Z7" i="24"/>
  <c r="Z8" i="24"/>
  <c r="Z9" i="24"/>
  <c r="Z10" i="24"/>
  <c r="Z11" i="24"/>
  <c r="Z12" i="24"/>
  <c r="Z13" i="24"/>
  <c r="Z14" i="24"/>
  <c r="Z15" i="24"/>
  <c r="Z16" i="24"/>
  <c r="Z17" i="24"/>
  <c r="Z18" i="24"/>
  <c r="Z19" i="24"/>
  <c r="Z20" i="24"/>
  <c r="Z21" i="24"/>
  <c r="Z22" i="24"/>
  <c r="Z23" i="24"/>
  <c r="Z24" i="24"/>
  <c r="Z25" i="24"/>
  <c r="Z26" i="24"/>
  <c r="Z27" i="24"/>
  <c r="Z28" i="24"/>
  <c r="Z29" i="24"/>
  <c r="Y7" i="24"/>
  <c r="V8" i="24"/>
  <c r="V9" i="24"/>
  <c r="V10" i="24"/>
  <c r="V11" i="24"/>
  <c r="V12" i="24"/>
  <c r="V13" i="24"/>
  <c r="V14" i="24"/>
  <c r="V15" i="24"/>
  <c r="V16" i="24"/>
  <c r="V17" i="24"/>
  <c r="V18" i="24"/>
  <c r="V19" i="24"/>
  <c r="V20" i="24"/>
  <c r="V21" i="24"/>
  <c r="V22" i="24"/>
  <c r="V23" i="24"/>
  <c r="V24" i="24"/>
  <c r="V25" i="24"/>
  <c r="V26" i="24"/>
  <c r="V27" i="24"/>
  <c r="V28" i="24"/>
  <c r="V29" i="24"/>
  <c r="V7" i="24"/>
  <c r="S7" i="24"/>
  <c r="S8" i="24"/>
  <c r="S9" i="24"/>
  <c r="S10" i="24"/>
  <c r="S11" i="24"/>
  <c r="S12" i="24"/>
  <c r="S13" i="24"/>
  <c r="S14" i="24"/>
  <c r="U15" i="24" s="1"/>
  <c r="S15" i="24"/>
  <c r="U16" i="24" s="1"/>
  <c r="S16" i="24"/>
  <c r="S17" i="24"/>
  <c r="S18" i="24"/>
  <c r="S19" i="24"/>
  <c r="S20" i="24"/>
  <c r="S21" i="24"/>
  <c r="U21" i="24" s="1"/>
  <c r="S22" i="24"/>
  <c r="U23" i="24" s="1"/>
  <c r="S23" i="24"/>
  <c r="U24" i="24" s="1"/>
  <c r="S24" i="24"/>
  <c r="U25" i="24" s="1"/>
  <c r="S25" i="24"/>
  <c r="S26" i="24"/>
  <c r="S27" i="24"/>
  <c r="S28" i="24"/>
  <c r="S29" i="24"/>
  <c r="U29" i="24" s="1"/>
  <c r="S6" i="24"/>
  <c r="U7" i="24" s="1"/>
  <c r="U26" i="24"/>
  <c r="U27" i="24"/>
  <c r="U28" i="24"/>
  <c r="X37" i="24"/>
  <c r="U20" i="24"/>
  <c r="U17" i="24"/>
  <c r="U12" i="24"/>
  <c r="U11" i="24"/>
  <c r="AI6" i="24"/>
  <c r="AK6" i="24" s="1"/>
  <c r="AN6" i="24" s="1"/>
  <c r="X26" i="23"/>
  <c r="Y8" i="23"/>
  <c r="Y9" i="23"/>
  <c r="Y10" i="23"/>
  <c r="Y11" i="23"/>
  <c r="Y12" i="23"/>
  <c r="Y13" i="23"/>
  <c r="Y14" i="23"/>
  <c r="Y15" i="23"/>
  <c r="Y16" i="23"/>
  <c r="Y17" i="23"/>
  <c r="Y18" i="23"/>
  <c r="Y19" i="23"/>
  <c r="Y20" i="23"/>
  <c r="Y7" i="23"/>
  <c r="V8" i="23"/>
  <c r="V9" i="23"/>
  <c r="V10" i="23"/>
  <c r="V11" i="23"/>
  <c r="V12" i="23"/>
  <c r="V13" i="23"/>
  <c r="V14" i="23"/>
  <c r="V15" i="23"/>
  <c r="V16" i="23"/>
  <c r="V17" i="23"/>
  <c r="V18" i="23"/>
  <c r="V19" i="23"/>
  <c r="V20" i="23"/>
  <c r="V7" i="23"/>
  <c r="S7" i="23"/>
  <c r="S8" i="23"/>
  <c r="S9" i="23"/>
  <c r="U10" i="23" s="1"/>
  <c r="S10" i="23"/>
  <c r="S11" i="23"/>
  <c r="S12" i="23"/>
  <c r="S13" i="23"/>
  <c r="S14" i="23"/>
  <c r="S15" i="23"/>
  <c r="U16" i="23" s="1"/>
  <c r="S16" i="23"/>
  <c r="S17" i="23"/>
  <c r="S18" i="23"/>
  <c r="S19" i="23"/>
  <c r="S20" i="23"/>
  <c r="S6" i="23"/>
  <c r="X27" i="23"/>
  <c r="AH20" i="23"/>
  <c r="AI20" i="23" s="1"/>
  <c r="AK20" i="23" s="1"/>
  <c r="AH19" i="23"/>
  <c r="AI19" i="23" s="1"/>
  <c r="AK19" i="23" s="1"/>
  <c r="U20" i="23"/>
  <c r="AH18" i="23"/>
  <c r="AI18" i="23" s="1"/>
  <c r="AK18" i="23" s="1"/>
  <c r="AH17" i="23"/>
  <c r="AI17" i="23" s="1"/>
  <c r="AK17" i="23" s="1"/>
  <c r="U18" i="23"/>
  <c r="AH16" i="23"/>
  <c r="AI16" i="23" s="1"/>
  <c r="AK16" i="23" s="1"/>
  <c r="U17" i="23"/>
  <c r="AH15" i="23"/>
  <c r="AI15" i="23" s="1"/>
  <c r="AK15" i="23" s="1"/>
  <c r="AH14" i="23"/>
  <c r="AI14" i="23" s="1"/>
  <c r="AK14" i="23" s="1"/>
  <c r="AH13" i="23"/>
  <c r="AI13" i="23" s="1"/>
  <c r="AK13" i="23" s="1"/>
  <c r="AH12" i="23"/>
  <c r="AI12" i="23" s="1"/>
  <c r="AK12" i="23" s="1"/>
  <c r="U13" i="23"/>
  <c r="AH11" i="23"/>
  <c r="AI11" i="23" s="1"/>
  <c r="AK11" i="23" s="1"/>
  <c r="U12" i="23"/>
  <c r="AH10" i="23"/>
  <c r="AI10" i="23" s="1"/>
  <c r="AK10" i="23" s="1"/>
  <c r="AH9" i="23"/>
  <c r="AI9" i="23" s="1"/>
  <c r="AK9" i="23" s="1"/>
  <c r="AH8" i="23"/>
  <c r="AI8" i="23" s="1"/>
  <c r="AK8" i="23" s="1"/>
  <c r="AH7" i="23"/>
  <c r="AI7" i="23" s="1"/>
  <c r="AK7" i="23" s="1"/>
  <c r="U8" i="23"/>
  <c r="AI6" i="23"/>
  <c r="AK6" i="23" s="1"/>
  <c r="AN6" i="23" s="1"/>
  <c r="AH21" i="22"/>
  <c r="AI21" i="22" s="1"/>
  <c r="AK21" i="22" s="1"/>
  <c r="AM21" i="22" s="1"/>
  <c r="AP21" i="22" s="1"/>
  <c r="AO21" i="22"/>
  <c r="X27" i="22"/>
  <c r="Y8" i="22"/>
  <c r="Y9" i="22"/>
  <c r="Y10" i="22"/>
  <c r="Y11" i="22"/>
  <c r="Y12" i="22"/>
  <c r="Y13" i="22"/>
  <c r="Y14" i="22"/>
  <c r="Y15" i="22"/>
  <c r="Y16" i="22"/>
  <c r="Y17" i="22"/>
  <c r="Y18" i="22"/>
  <c r="Y19" i="22"/>
  <c r="Y20" i="22"/>
  <c r="Y21" i="22"/>
  <c r="Y7" i="22"/>
  <c r="V8" i="22"/>
  <c r="V9" i="22"/>
  <c r="V10" i="22"/>
  <c r="V11" i="22"/>
  <c r="V12" i="22"/>
  <c r="V13" i="22"/>
  <c r="V14" i="22"/>
  <c r="V15" i="22"/>
  <c r="V16" i="22"/>
  <c r="V17" i="22"/>
  <c r="V18" i="22"/>
  <c r="V19" i="22"/>
  <c r="V20" i="22"/>
  <c r="V21" i="22"/>
  <c r="V7" i="22"/>
  <c r="W21" i="22"/>
  <c r="X21" i="22"/>
  <c r="AA21" i="22" s="1"/>
  <c r="Z21" i="22"/>
  <c r="U21" i="22"/>
  <c r="S7" i="22"/>
  <c r="S8" i="22"/>
  <c r="S9" i="22"/>
  <c r="S10" i="22"/>
  <c r="S11" i="22"/>
  <c r="S12" i="22"/>
  <c r="S13" i="22"/>
  <c r="S14" i="22"/>
  <c r="S15" i="22"/>
  <c r="S16" i="22"/>
  <c r="S17" i="22"/>
  <c r="S18" i="22"/>
  <c r="S19" i="22"/>
  <c r="S20" i="22"/>
  <c r="U20" i="22" s="1"/>
  <c r="S21" i="22"/>
  <c r="S6" i="22"/>
  <c r="X28" i="22"/>
  <c r="AH20" i="22"/>
  <c r="AI20" i="22" s="1"/>
  <c r="AK20" i="22" s="1"/>
  <c r="AH19" i="22"/>
  <c r="AI19" i="22" s="1"/>
  <c r="AK19" i="22" s="1"/>
  <c r="AH18" i="22"/>
  <c r="AI18" i="22" s="1"/>
  <c r="AK18" i="22" s="1"/>
  <c r="AH17" i="22"/>
  <c r="AI17" i="22" s="1"/>
  <c r="AK17" i="22" s="1"/>
  <c r="AH16" i="22"/>
  <c r="AI16" i="22" s="1"/>
  <c r="AK16" i="22" s="1"/>
  <c r="U17" i="22"/>
  <c r="AH15" i="22"/>
  <c r="AI15" i="22" s="1"/>
  <c r="AK15" i="22" s="1"/>
  <c r="AH14" i="22"/>
  <c r="AI14" i="22" s="1"/>
  <c r="AK14" i="22" s="1"/>
  <c r="AH13" i="22"/>
  <c r="AI13" i="22" s="1"/>
  <c r="AK13" i="22" s="1"/>
  <c r="AH12" i="22"/>
  <c r="AI12" i="22" s="1"/>
  <c r="AK12" i="22" s="1"/>
  <c r="AH11" i="22"/>
  <c r="AI11" i="22" s="1"/>
  <c r="AK11" i="22" s="1"/>
  <c r="AH10" i="22"/>
  <c r="AI10" i="22" s="1"/>
  <c r="AK10" i="22" s="1"/>
  <c r="AH9" i="22"/>
  <c r="AI9" i="22" s="1"/>
  <c r="AK9" i="22" s="1"/>
  <c r="AH8" i="22"/>
  <c r="AI8" i="22" s="1"/>
  <c r="AK8" i="22" s="1"/>
  <c r="AH7" i="22"/>
  <c r="AI7" i="22" s="1"/>
  <c r="AK7" i="22" s="1"/>
  <c r="U8" i="22"/>
  <c r="AI6" i="22"/>
  <c r="AK6" i="22" s="1"/>
  <c r="AN6" i="22" s="1"/>
  <c r="Z6" i="22"/>
  <c r="AA6" i="22" s="1"/>
  <c r="AO6" i="22" s="1"/>
  <c r="X26" i="21"/>
  <c r="Y8" i="21"/>
  <c r="Y9" i="21"/>
  <c r="Y10" i="21"/>
  <c r="Y11" i="21"/>
  <c r="Y12" i="21"/>
  <c r="Y13" i="21"/>
  <c r="Y14" i="21"/>
  <c r="Y15" i="21"/>
  <c r="Y16" i="21"/>
  <c r="Y17" i="21"/>
  <c r="Y18" i="21"/>
  <c r="Y19" i="21"/>
  <c r="Y20" i="21"/>
  <c r="Y7" i="21"/>
  <c r="V8" i="21"/>
  <c r="V9" i="21"/>
  <c r="V10" i="21"/>
  <c r="V11" i="21"/>
  <c r="V12" i="21"/>
  <c r="V13" i="21"/>
  <c r="V14" i="21"/>
  <c r="V15" i="21"/>
  <c r="V16" i="21"/>
  <c r="V17" i="21"/>
  <c r="V18" i="21"/>
  <c r="V19" i="21"/>
  <c r="V20" i="21"/>
  <c r="V7" i="21"/>
  <c r="AH20" i="21"/>
  <c r="AI20" i="21" s="1"/>
  <c r="AK20" i="21" s="1"/>
  <c r="U20" i="21"/>
  <c r="S7" i="21"/>
  <c r="U8" i="21" s="1"/>
  <c r="S8" i="21"/>
  <c r="S9" i="21"/>
  <c r="S10" i="21"/>
  <c r="S11" i="21"/>
  <c r="S12" i="21"/>
  <c r="S13" i="21"/>
  <c r="S14" i="21"/>
  <c r="U15" i="21" s="1"/>
  <c r="S15" i="21"/>
  <c r="S16" i="21"/>
  <c r="S17" i="21"/>
  <c r="S18" i="21"/>
  <c r="S19" i="21"/>
  <c r="S20" i="21"/>
  <c r="S6" i="21"/>
  <c r="X27" i="21"/>
  <c r="AH19" i="21"/>
  <c r="AI19" i="21" s="1"/>
  <c r="AK19" i="21" s="1"/>
  <c r="AH18" i="21"/>
  <c r="AI18" i="21" s="1"/>
  <c r="AK18" i="21" s="1"/>
  <c r="U19" i="21"/>
  <c r="AH17" i="21"/>
  <c r="AI17" i="21" s="1"/>
  <c r="AK17" i="21" s="1"/>
  <c r="AH16" i="21"/>
  <c r="AI16" i="21" s="1"/>
  <c r="AK16" i="21" s="1"/>
  <c r="AH15" i="21"/>
  <c r="AI15" i="21" s="1"/>
  <c r="AK15" i="21" s="1"/>
  <c r="AM15" i="21"/>
  <c r="AP15" i="21" s="1"/>
  <c r="AH14" i="21"/>
  <c r="AI14" i="21" s="1"/>
  <c r="AK14" i="21" s="1"/>
  <c r="AH13" i="21"/>
  <c r="AI13" i="21" s="1"/>
  <c r="AK13" i="21" s="1"/>
  <c r="AH12" i="21"/>
  <c r="AI12" i="21" s="1"/>
  <c r="AK12" i="21" s="1"/>
  <c r="AH11" i="21"/>
  <c r="AI11" i="21" s="1"/>
  <c r="AK11" i="21" s="1"/>
  <c r="AM11" i="21"/>
  <c r="AP11" i="21" s="1"/>
  <c r="AH10" i="21"/>
  <c r="AI10" i="21" s="1"/>
  <c r="AK10" i="21" s="1"/>
  <c r="AH9" i="21"/>
  <c r="AI9" i="21" s="1"/>
  <c r="AK9" i="21" s="1"/>
  <c r="AH8" i="21"/>
  <c r="AI8" i="21" s="1"/>
  <c r="AK8" i="21" s="1"/>
  <c r="AH7" i="21"/>
  <c r="AI7" i="21" s="1"/>
  <c r="AK7" i="21" s="1"/>
  <c r="AI6" i="21"/>
  <c r="AK6" i="21" s="1"/>
  <c r="AN6" i="21" s="1"/>
  <c r="Y8" i="20"/>
  <c r="Y9" i="20"/>
  <c r="Y10" i="20"/>
  <c r="Y11" i="20"/>
  <c r="Y12" i="20"/>
  <c r="Y13" i="20"/>
  <c r="Y14" i="20"/>
  <c r="Y15" i="20"/>
  <c r="Y16" i="20"/>
  <c r="Y17" i="20"/>
  <c r="Y18" i="20"/>
  <c r="Y19" i="20"/>
  <c r="Y7" i="20"/>
  <c r="V8" i="20"/>
  <c r="V9" i="20"/>
  <c r="V10" i="20"/>
  <c r="V11" i="20"/>
  <c r="V12" i="20"/>
  <c r="V13" i="20"/>
  <c r="V14" i="20"/>
  <c r="V15" i="20"/>
  <c r="V16" i="20"/>
  <c r="V17" i="20"/>
  <c r="V18" i="20"/>
  <c r="V19" i="20"/>
  <c r="V7" i="20"/>
  <c r="X26" i="20"/>
  <c r="S7" i="20"/>
  <c r="S8" i="20"/>
  <c r="S9" i="20"/>
  <c r="S10" i="20"/>
  <c r="S11" i="20"/>
  <c r="S12" i="20"/>
  <c r="S13" i="20"/>
  <c r="S14" i="20"/>
  <c r="S15" i="20"/>
  <c r="S16" i="20"/>
  <c r="S17" i="20"/>
  <c r="S18" i="20"/>
  <c r="S19" i="20"/>
  <c r="S6" i="20"/>
  <c r="Z6" i="20" s="1"/>
  <c r="AA6" i="20" s="1"/>
  <c r="AO6" i="20" s="1"/>
  <c r="X27" i="20"/>
  <c r="AH19" i="20"/>
  <c r="AI19" i="20" s="1"/>
  <c r="AK19" i="20" s="1"/>
  <c r="AH18" i="20"/>
  <c r="AI18" i="20" s="1"/>
  <c r="AK18" i="20" s="1"/>
  <c r="U18" i="20"/>
  <c r="AH17" i="20"/>
  <c r="AI17" i="20" s="1"/>
  <c r="AK17" i="20" s="1"/>
  <c r="AM17" i="20" s="1"/>
  <c r="AP17" i="20" s="1"/>
  <c r="AI16" i="20"/>
  <c r="AK16" i="20" s="1"/>
  <c r="AM16" i="20" s="1"/>
  <c r="AP16" i="20" s="1"/>
  <c r="AH16" i="20"/>
  <c r="AH15" i="20"/>
  <c r="AI15" i="20" s="1"/>
  <c r="AK15" i="20" s="1"/>
  <c r="AH14" i="20"/>
  <c r="AI14" i="20" s="1"/>
  <c r="AK14" i="20" s="1"/>
  <c r="AH13" i="20"/>
  <c r="AI13" i="20" s="1"/>
  <c r="AK13" i="20" s="1"/>
  <c r="AH12" i="20"/>
  <c r="AI12" i="20" s="1"/>
  <c r="AK12" i="20" s="1"/>
  <c r="AM12" i="20" s="1"/>
  <c r="AP12" i="20" s="1"/>
  <c r="AH11" i="20"/>
  <c r="AI11" i="20" s="1"/>
  <c r="AK11" i="20" s="1"/>
  <c r="AH10" i="20"/>
  <c r="AI10" i="20" s="1"/>
  <c r="AK10" i="20" s="1"/>
  <c r="AH9" i="20"/>
  <c r="AI9" i="20" s="1"/>
  <c r="AK9" i="20" s="1"/>
  <c r="AM9" i="20" s="1"/>
  <c r="AP9" i="20" s="1"/>
  <c r="AH8" i="20"/>
  <c r="AI8" i="20" s="1"/>
  <c r="AK8" i="20" s="1"/>
  <c r="AM8" i="20" s="1"/>
  <c r="AP8" i="20" s="1"/>
  <c r="AH7" i="20"/>
  <c r="AI7" i="20" s="1"/>
  <c r="AK7" i="20" s="1"/>
  <c r="AN6" i="20"/>
  <c r="AK6" i="20"/>
  <c r="AI6" i="20"/>
  <c r="AA7" i="12"/>
  <c r="AA8" i="12"/>
  <c r="AA9" i="12"/>
  <c r="AA10" i="12"/>
  <c r="AA11" i="12"/>
  <c r="AA12" i="12"/>
  <c r="AA13" i="12"/>
  <c r="AA14" i="12"/>
  <c r="AA15" i="12"/>
  <c r="AA16" i="12"/>
  <c r="AA17" i="12"/>
  <c r="AA18" i="12"/>
  <c r="AA19" i="12"/>
  <c r="AA20" i="12"/>
  <c r="Y8" i="12"/>
  <c r="Y9" i="12"/>
  <c r="Y10" i="12"/>
  <c r="Y11" i="12"/>
  <c r="Y12" i="12"/>
  <c r="Y13" i="12"/>
  <c r="Y14" i="12"/>
  <c r="Y15" i="12"/>
  <c r="Y16" i="12"/>
  <c r="Y17" i="12"/>
  <c r="Y18" i="12"/>
  <c r="Y19" i="12"/>
  <c r="Y20" i="12"/>
  <c r="Y7" i="12"/>
  <c r="V8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7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6" i="12"/>
  <c r="X28" i="12"/>
  <c r="AH20" i="12"/>
  <c r="AI20" i="12" s="1"/>
  <c r="AK20" i="12" s="1"/>
  <c r="AH19" i="12"/>
  <c r="AI19" i="12" s="1"/>
  <c r="AK19" i="12" s="1"/>
  <c r="AH18" i="12"/>
  <c r="AI18" i="12" s="1"/>
  <c r="AK18" i="12" s="1"/>
  <c r="AH17" i="12"/>
  <c r="AI17" i="12" s="1"/>
  <c r="AK17" i="12" s="1"/>
  <c r="AH16" i="12"/>
  <c r="AI16" i="12" s="1"/>
  <c r="AK16" i="12" s="1"/>
  <c r="AH15" i="12"/>
  <c r="AI15" i="12" s="1"/>
  <c r="AK15" i="12" s="1"/>
  <c r="AH14" i="12"/>
  <c r="AI14" i="12" s="1"/>
  <c r="AK14" i="12" s="1"/>
  <c r="AH13" i="12"/>
  <c r="AI13" i="12" s="1"/>
  <c r="AK13" i="12" s="1"/>
  <c r="AH12" i="12"/>
  <c r="AI12" i="12" s="1"/>
  <c r="AK12" i="12" s="1"/>
  <c r="AH11" i="12"/>
  <c r="AI11" i="12" s="1"/>
  <c r="AK11" i="12" s="1"/>
  <c r="AH10" i="12"/>
  <c r="AI10" i="12" s="1"/>
  <c r="AK10" i="12" s="1"/>
  <c r="AH9" i="12"/>
  <c r="AI9" i="12" s="1"/>
  <c r="AK9" i="12" s="1"/>
  <c r="AH8" i="12"/>
  <c r="AI8" i="12" s="1"/>
  <c r="AK8" i="12" s="1"/>
  <c r="AH7" i="12"/>
  <c r="AI7" i="12" s="1"/>
  <c r="AK7" i="12" s="1"/>
  <c r="AI6" i="12"/>
  <c r="AK6" i="12" s="1"/>
  <c r="AN6" i="12" s="1"/>
  <c r="X32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7" i="11"/>
  <c r="S7" i="11"/>
  <c r="S8" i="11"/>
  <c r="S9" i="11"/>
  <c r="S10" i="11"/>
  <c r="S11" i="11"/>
  <c r="S12" i="11"/>
  <c r="S13" i="11"/>
  <c r="S14" i="11"/>
  <c r="U14" i="11" s="1"/>
  <c r="S15" i="11"/>
  <c r="U16" i="11" s="1"/>
  <c r="S16" i="11"/>
  <c r="S17" i="11"/>
  <c r="S18" i="11"/>
  <c r="S19" i="11"/>
  <c r="S20" i="11"/>
  <c r="S21" i="11"/>
  <c r="S22" i="11"/>
  <c r="U23" i="11" s="1"/>
  <c r="S23" i="11"/>
  <c r="U24" i="11" s="1"/>
  <c r="S24" i="11"/>
  <c r="S25" i="11"/>
  <c r="S26" i="11"/>
  <c r="S6" i="11"/>
  <c r="O26" i="11"/>
  <c r="O25" i="11"/>
  <c r="O23" i="11"/>
  <c r="X33" i="11"/>
  <c r="AH26" i="11"/>
  <c r="AI26" i="11" s="1"/>
  <c r="AK26" i="11" s="1"/>
  <c r="AH25" i="11"/>
  <c r="AI25" i="11" s="1"/>
  <c r="AK25" i="11" s="1"/>
  <c r="U26" i="11"/>
  <c r="AH24" i="11"/>
  <c r="AI24" i="11" s="1"/>
  <c r="AK24" i="11" s="1"/>
  <c r="AH23" i="11"/>
  <c r="AI23" i="11" s="1"/>
  <c r="AK23" i="11" s="1"/>
  <c r="AH22" i="11"/>
  <c r="AI22" i="11" s="1"/>
  <c r="AK22" i="11" s="1"/>
  <c r="AH21" i="11"/>
  <c r="AI21" i="11" s="1"/>
  <c r="AK21" i="11" s="1"/>
  <c r="AH20" i="11"/>
  <c r="AI20" i="11" s="1"/>
  <c r="AK20" i="11" s="1"/>
  <c r="AH19" i="11"/>
  <c r="AI19" i="11" s="1"/>
  <c r="AK19" i="11" s="1"/>
  <c r="AH18" i="11"/>
  <c r="AI18" i="11" s="1"/>
  <c r="AK18" i="11" s="1"/>
  <c r="U19" i="11"/>
  <c r="AH17" i="11"/>
  <c r="AI17" i="11" s="1"/>
  <c r="AK17" i="11" s="1"/>
  <c r="U18" i="11"/>
  <c r="AH16" i="11"/>
  <c r="AI16" i="11" s="1"/>
  <c r="AK16" i="11" s="1"/>
  <c r="AH15" i="11"/>
  <c r="AI15" i="11" s="1"/>
  <c r="AK15" i="11" s="1"/>
  <c r="AH14" i="11"/>
  <c r="AI14" i="11" s="1"/>
  <c r="AK14" i="11" s="1"/>
  <c r="AH13" i="11"/>
  <c r="AI13" i="11" s="1"/>
  <c r="AK13" i="11" s="1"/>
  <c r="AH12" i="11"/>
  <c r="AI12" i="11" s="1"/>
  <c r="AK12" i="11" s="1"/>
  <c r="AH11" i="11"/>
  <c r="AI11" i="11" s="1"/>
  <c r="AK11" i="11" s="1"/>
  <c r="AH10" i="11"/>
  <c r="AI10" i="11" s="1"/>
  <c r="AK10" i="11" s="1"/>
  <c r="AH9" i="11"/>
  <c r="AI9" i="11" s="1"/>
  <c r="AK9" i="11" s="1"/>
  <c r="U10" i="11"/>
  <c r="AH8" i="11"/>
  <c r="AI8" i="11" s="1"/>
  <c r="AK8" i="11" s="1"/>
  <c r="AH7" i="11"/>
  <c r="AI7" i="11" s="1"/>
  <c r="AK7" i="11" s="1"/>
  <c r="AK6" i="11"/>
  <c r="AN6" i="11" s="1"/>
  <c r="AI6" i="11"/>
  <c r="X33" i="9"/>
  <c r="AH20" i="9"/>
  <c r="AI20" i="9" s="1"/>
  <c r="AK20" i="9" s="1"/>
  <c r="AM20" i="9" s="1"/>
  <c r="AP20" i="9" s="1"/>
  <c r="AL20" i="9"/>
  <c r="AO20" i="9"/>
  <c r="AH21" i="9"/>
  <c r="AI21" i="9" s="1"/>
  <c r="AK21" i="9" s="1"/>
  <c r="AM21" i="9" s="1"/>
  <c r="AP21" i="9" s="1"/>
  <c r="AL21" i="9"/>
  <c r="AO21" i="9"/>
  <c r="AH22" i="9"/>
  <c r="AI22" i="9" s="1"/>
  <c r="AK22" i="9" s="1"/>
  <c r="AM22" i="9" s="1"/>
  <c r="AP22" i="9" s="1"/>
  <c r="AL22" i="9"/>
  <c r="AO22" i="9"/>
  <c r="AH23" i="9"/>
  <c r="AI23" i="9" s="1"/>
  <c r="AK23" i="9" s="1"/>
  <c r="AM23" i="9" s="1"/>
  <c r="AP23" i="9" s="1"/>
  <c r="AL23" i="9"/>
  <c r="AO23" i="9"/>
  <c r="AH24" i="9"/>
  <c r="AI24" i="9" s="1"/>
  <c r="AK24" i="9" s="1"/>
  <c r="AM24" i="9" s="1"/>
  <c r="AP24" i="9" s="1"/>
  <c r="AL24" i="9"/>
  <c r="AO24" i="9"/>
  <c r="AH25" i="9"/>
  <c r="AI25" i="9" s="1"/>
  <c r="AK25" i="9" s="1"/>
  <c r="AM25" i="9" s="1"/>
  <c r="AP25" i="9" s="1"/>
  <c r="AL25" i="9"/>
  <c r="AO25" i="9"/>
  <c r="AH26" i="9"/>
  <c r="AI26" i="9" s="1"/>
  <c r="AK26" i="9" s="1"/>
  <c r="AM26" i="9" s="1"/>
  <c r="AP26" i="9" s="1"/>
  <c r="AL26" i="9"/>
  <c r="AO26" i="9"/>
  <c r="AH27" i="9"/>
  <c r="AI27" i="9" s="1"/>
  <c r="AK27" i="9" s="1"/>
  <c r="AM27" i="9" s="1"/>
  <c r="AP27" i="9" s="1"/>
  <c r="AL27" i="9"/>
  <c r="AO27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Z20" i="9"/>
  <c r="Z21" i="9"/>
  <c r="Z22" i="9"/>
  <c r="Z23" i="9"/>
  <c r="Z24" i="9"/>
  <c r="Z25" i="9"/>
  <c r="Z26" i="9"/>
  <c r="Z27" i="9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7" i="9"/>
  <c r="X27" i="9"/>
  <c r="X26" i="9"/>
  <c r="X25" i="9"/>
  <c r="X24" i="9"/>
  <c r="X23" i="9"/>
  <c r="X22" i="9"/>
  <c r="X21" i="9"/>
  <c r="X20" i="9"/>
  <c r="W8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7" i="9"/>
  <c r="U20" i="9"/>
  <c r="U21" i="9"/>
  <c r="U22" i="9"/>
  <c r="U23" i="9"/>
  <c r="U24" i="9"/>
  <c r="U25" i="9"/>
  <c r="U26" i="9"/>
  <c r="U27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6" i="9"/>
  <c r="X34" i="9"/>
  <c r="AH19" i="9"/>
  <c r="AI19" i="9" s="1"/>
  <c r="AK19" i="9" s="1"/>
  <c r="AH18" i="9"/>
  <c r="AI18" i="9" s="1"/>
  <c r="AK18" i="9" s="1"/>
  <c r="AH17" i="9"/>
  <c r="AI17" i="9" s="1"/>
  <c r="AK17" i="9" s="1"/>
  <c r="AH16" i="9"/>
  <c r="AI16" i="9" s="1"/>
  <c r="AK16" i="9" s="1"/>
  <c r="AH15" i="9"/>
  <c r="AI15" i="9" s="1"/>
  <c r="AK15" i="9" s="1"/>
  <c r="AH14" i="9"/>
  <c r="AI14" i="9" s="1"/>
  <c r="AK14" i="9" s="1"/>
  <c r="AH13" i="9"/>
  <c r="AI13" i="9" s="1"/>
  <c r="AK13" i="9" s="1"/>
  <c r="AH12" i="9"/>
  <c r="AI12" i="9" s="1"/>
  <c r="AK12" i="9" s="1"/>
  <c r="AH11" i="9"/>
  <c r="AI11" i="9" s="1"/>
  <c r="AK11" i="9" s="1"/>
  <c r="AH10" i="9"/>
  <c r="AI10" i="9" s="1"/>
  <c r="AK10" i="9" s="1"/>
  <c r="AH9" i="9"/>
  <c r="AI9" i="9" s="1"/>
  <c r="AK9" i="9" s="1"/>
  <c r="AH8" i="9"/>
  <c r="AI8" i="9" s="1"/>
  <c r="AK8" i="9" s="1"/>
  <c r="AH7" i="9"/>
  <c r="AI7" i="9" s="1"/>
  <c r="AK7" i="9" s="1"/>
  <c r="AK6" i="9"/>
  <c r="AN6" i="9" s="1"/>
  <c r="AI6" i="9"/>
  <c r="AM8" i="8"/>
  <c r="AP8" i="8" s="1"/>
  <c r="AM9" i="8"/>
  <c r="AM10" i="8"/>
  <c r="AM11" i="8"/>
  <c r="AM12" i="8"/>
  <c r="AM13" i="8"/>
  <c r="AM14" i="8"/>
  <c r="AP14" i="8" s="1"/>
  <c r="AM15" i="8"/>
  <c r="AM16" i="8"/>
  <c r="AM17" i="8"/>
  <c r="AM18" i="8"/>
  <c r="AM19" i="8"/>
  <c r="X26" i="6"/>
  <c r="AP9" i="8"/>
  <c r="AO7" i="8"/>
  <c r="AO8" i="8"/>
  <c r="AO9" i="8"/>
  <c r="AO10" i="8"/>
  <c r="AO11" i="8"/>
  <c r="AO12" i="8"/>
  <c r="AO13" i="8"/>
  <c r="AO14" i="8"/>
  <c r="AO15" i="8"/>
  <c r="AO16" i="8"/>
  <c r="AO17" i="8"/>
  <c r="AO18" i="8"/>
  <c r="AO19" i="8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Y19" i="8"/>
  <c r="Y8" i="8"/>
  <c r="Y9" i="8"/>
  <c r="Y10" i="8"/>
  <c r="Y11" i="8"/>
  <c r="Y12" i="8"/>
  <c r="Y13" i="8"/>
  <c r="Y14" i="8"/>
  <c r="Y15" i="8"/>
  <c r="Y16" i="8"/>
  <c r="Y17" i="8"/>
  <c r="Y18" i="8"/>
  <c r="Y7" i="8"/>
  <c r="V8" i="8"/>
  <c r="V9" i="8"/>
  <c r="V10" i="8"/>
  <c r="V11" i="8"/>
  <c r="V12" i="8"/>
  <c r="V13" i="8"/>
  <c r="V14" i="8"/>
  <c r="V15" i="8"/>
  <c r="V16" i="8"/>
  <c r="V17" i="8"/>
  <c r="V18" i="8"/>
  <c r="V19" i="8"/>
  <c r="V7" i="8"/>
  <c r="S7" i="8"/>
  <c r="S8" i="8"/>
  <c r="S9" i="8"/>
  <c r="S10" i="8"/>
  <c r="U11" i="8" s="1"/>
  <c r="S11" i="8"/>
  <c r="S12" i="8"/>
  <c r="S13" i="8"/>
  <c r="U14" i="8" s="1"/>
  <c r="S14" i="8"/>
  <c r="U15" i="8" s="1"/>
  <c r="S15" i="8"/>
  <c r="S16" i="8"/>
  <c r="S17" i="8"/>
  <c r="S18" i="8"/>
  <c r="U19" i="8" s="1"/>
  <c r="S19" i="8"/>
  <c r="S6" i="8"/>
  <c r="Z6" i="8" s="1"/>
  <c r="AA6" i="8" s="1"/>
  <c r="AO6" i="8" s="1"/>
  <c r="X27" i="8"/>
  <c r="AH19" i="8"/>
  <c r="AI19" i="8" s="1"/>
  <c r="AK19" i="8" s="1"/>
  <c r="AH18" i="8"/>
  <c r="AI18" i="8" s="1"/>
  <c r="AK18" i="8" s="1"/>
  <c r="AH17" i="8"/>
  <c r="AI17" i="8" s="1"/>
  <c r="AK17" i="8" s="1"/>
  <c r="AP17" i="8" s="1"/>
  <c r="AH16" i="8"/>
  <c r="AI16" i="8" s="1"/>
  <c r="AK16" i="8" s="1"/>
  <c r="AH15" i="8"/>
  <c r="AI15" i="8" s="1"/>
  <c r="AK15" i="8" s="1"/>
  <c r="U16" i="8"/>
  <c r="AH14" i="8"/>
  <c r="AI14" i="8" s="1"/>
  <c r="AK14" i="8" s="1"/>
  <c r="AH13" i="8"/>
  <c r="AI13" i="8" s="1"/>
  <c r="AK13" i="8" s="1"/>
  <c r="AH12" i="8"/>
  <c r="AI12" i="8" s="1"/>
  <c r="AK12" i="8" s="1"/>
  <c r="AH11" i="8"/>
  <c r="AI11" i="8" s="1"/>
  <c r="AK11" i="8" s="1"/>
  <c r="U12" i="8"/>
  <c r="AH10" i="8"/>
  <c r="AI10" i="8" s="1"/>
  <c r="AK10" i="8" s="1"/>
  <c r="AH9" i="8"/>
  <c r="AI9" i="8" s="1"/>
  <c r="AK9" i="8" s="1"/>
  <c r="U10" i="8"/>
  <c r="AH8" i="8"/>
  <c r="AI8" i="8" s="1"/>
  <c r="AK8" i="8" s="1"/>
  <c r="AH7" i="8"/>
  <c r="AI7" i="8" s="1"/>
  <c r="AK7" i="8" s="1"/>
  <c r="AM7" i="8" s="1"/>
  <c r="AP7" i="8" s="1"/>
  <c r="AI6" i="8"/>
  <c r="AK6" i="8" s="1"/>
  <c r="AI7" i="6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6" i="6"/>
  <c r="Z20" i="6"/>
  <c r="AA20" i="6" s="1"/>
  <c r="Z19" i="6"/>
  <c r="Z18" i="6"/>
  <c r="Z17" i="6"/>
  <c r="Z16" i="6"/>
  <c r="Z15" i="6"/>
  <c r="Z14" i="6"/>
  <c r="Z13" i="6"/>
  <c r="AA13" i="6" s="1"/>
  <c r="Z12" i="6"/>
  <c r="AA12" i="6" s="1"/>
  <c r="Z11" i="6"/>
  <c r="Z10" i="6"/>
  <c r="Z9" i="6"/>
  <c r="Z8" i="6"/>
  <c r="Z7" i="6"/>
  <c r="Z6" i="6"/>
  <c r="AA7" i="6"/>
  <c r="AA8" i="6"/>
  <c r="AA9" i="6"/>
  <c r="AA10" i="6"/>
  <c r="AA11" i="6"/>
  <c r="AA14" i="6"/>
  <c r="AA15" i="6"/>
  <c r="AA16" i="6"/>
  <c r="AA17" i="6"/>
  <c r="AA18" i="6"/>
  <c r="AA19" i="6"/>
  <c r="U19" i="6"/>
  <c r="U8" i="6"/>
  <c r="U9" i="6"/>
  <c r="U10" i="6"/>
  <c r="U11" i="6"/>
  <c r="U12" i="6"/>
  <c r="U13" i="6"/>
  <c r="U14" i="6"/>
  <c r="U15" i="6"/>
  <c r="U16" i="6"/>
  <c r="U17" i="6"/>
  <c r="U18" i="6"/>
  <c r="U20" i="6"/>
  <c r="W18" i="41" l="1"/>
  <c r="Z14" i="41"/>
  <c r="X14" i="41"/>
  <c r="Y14" i="41" s="1"/>
  <c r="Z11" i="41"/>
  <c r="X11" i="41"/>
  <c r="Y11" i="41" s="1"/>
  <c r="W14" i="41"/>
  <c r="Z9" i="41"/>
  <c r="X9" i="41"/>
  <c r="Y9" i="41" s="1"/>
  <c r="Z13" i="41"/>
  <c r="X13" i="41"/>
  <c r="Y13" i="41" s="1"/>
  <c r="Z10" i="41"/>
  <c r="X10" i="41"/>
  <c r="Y10" i="41" s="1"/>
  <c r="Z7" i="41"/>
  <c r="X8" i="41"/>
  <c r="X7" i="41"/>
  <c r="Y7" i="41" s="1"/>
  <c r="W13" i="41"/>
  <c r="W8" i="41"/>
  <c r="Z18" i="41"/>
  <c r="X18" i="41"/>
  <c r="Y18" i="41" s="1"/>
  <c r="W7" i="41"/>
  <c r="AL7" i="41" s="1"/>
  <c r="W11" i="41"/>
  <c r="Z16" i="41"/>
  <c r="X16" i="41"/>
  <c r="Y16" i="41" s="1"/>
  <c r="Z17" i="41"/>
  <c r="X17" i="41"/>
  <c r="Y17" i="41" s="1"/>
  <c r="W9" i="41"/>
  <c r="Z15" i="41"/>
  <c r="X15" i="41"/>
  <c r="Y15" i="41" s="1"/>
  <c r="Z12" i="41"/>
  <c r="X12" i="41"/>
  <c r="Y12" i="41" s="1"/>
  <c r="W16" i="41"/>
  <c r="W8" i="40"/>
  <c r="Z7" i="40"/>
  <c r="X7" i="40"/>
  <c r="X8" i="40"/>
  <c r="AA8" i="40" s="1"/>
  <c r="AO8" i="40" s="1"/>
  <c r="Z13" i="40"/>
  <c r="X13" i="40"/>
  <c r="Z15" i="40"/>
  <c r="X15" i="40"/>
  <c r="X12" i="40"/>
  <c r="Z12" i="40"/>
  <c r="Z18" i="40"/>
  <c r="X18" i="40"/>
  <c r="X10" i="40"/>
  <c r="Z10" i="40"/>
  <c r="W13" i="40"/>
  <c r="X19" i="40"/>
  <c r="Z19" i="40"/>
  <c r="W15" i="40"/>
  <c r="X17" i="40"/>
  <c r="Z17" i="40"/>
  <c r="Z9" i="40"/>
  <c r="X9" i="40"/>
  <c r="AA9" i="40" s="1"/>
  <c r="AO9" i="40" s="1"/>
  <c r="W12" i="40"/>
  <c r="X11" i="40"/>
  <c r="Z11" i="40"/>
  <c r="X16" i="40"/>
  <c r="Z16" i="40"/>
  <c r="W9" i="40"/>
  <c r="W10" i="40"/>
  <c r="X14" i="40"/>
  <c r="Z14" i="40"/>
  <c r="W7" i="40"/>
  <c r="AL7" i="40" s="1"/>
  <c r="W12" i="39"/>
  <c r="W8" i="39"/>
  <c r="Z9" i="39"/>
  <c r="W9" i="39"/>
  <c r="Z16" i="39"/>
  <c r="W16" i="39"/>
  <c r="Z17" i="39"/>
  <c r="Z15" i="39"/>
  <c r="Z13" i="39"/>
  <c r="Z14" i="39"/>
  <c r="Z10" i="39"/>
  <c r="W15" i="39"/>
  <c r="W13" i="39"/>
  <c r="W14" i="39"/>
  <c r="W10" i="39"/>
  <c r="Z11" i="39"/>
  <c r="Z18" i="39"/>
  <c r="W11" i="39"/>
  <c r="W18" i="39"/>
  <c r="W16" i="36"/>
  <c r="Z8" i="36"/>
  <c r="W9" i="36"/>
  <c r="W15" i="36"/>
  <c r="W7" i="36"/>
  <c r="AL7" i="36" s="1"/>
  <c r="W17" i="36"/>
  <c r="W14" i="36"/>
  <c r="W13" i="36"/>
  <c r="W12" i="36"/>
  <c r="W18" i="36"/>
  <c r="W11" i="36"/>
  <c r="W11" i="38"/>
  <c r="W9" i="38"/>
  <c r="Z13" i="38"/>
  <c r="Z8" i="38"/>
  <c r="X9" i="38"/>
  <c r="AA9" i="38" s="1"/>
  <c r="AO9" i="38" s="1"/>
  <c r="Z12" i="38"/>
  <c r="X10" i="38"/>
  <c r="AN7" i="38"/>
  <c r="AL8" i="38"/>
  <c r="X11" i="38"/>
  <c r="AA11" i="38" s="1"/>
  <c r="AO11" i="38" s="1"/>
  <c r="Z10" i="38"/>
  <c r="W10" i="38"/>
  <c r="X13" i="38"/>
  <c r="AA13" i="38" s="1"/>
  <c r="AO13" i="38" s="1"/>
  <c r="X12" i="38"/>
  <c r="Z7" i="38"/>
  <c r="X8" i="38"/>
  <c r="X7" i="38"/>
  <c r="U11" i="26"/>
  <c r="V11" i="26" s="1"/>
  <c r="U15" i="26"/>
  <c r="U10" i="26"/>
  <c r="W18" i="26"/>
  <c r="W11" i="26"/>
  <c r="W19" i="26"/>
  <c r="W20" i="26"/>
  <c r="Z8" i="26"/>
  <c r="W12" i="26"/>
  <c r="W16" i="26"/>
  <c r="W9" i="26"/>
  <c r="W17" i="26"/>
  <c r="AM20" i="26"/>
  <c r="AP20" i="26" s="1"/>
  <c r="AM6" i="26"/>
  <c r="AP6" i="26" s="1"/>
  <c r="AM7" i="26"/>
  <c r="AP7" i="26" s="1"/>
  <c r="AM8" i="26"/>
  <c r="AP8" i="26" s="1"/>
  <c r="AM9" i="26"/>
  <c r="AP9" i="26" s="1"/>
  <c r="AM10" i="26"/>
  <c r="AP10" i="26" s="1"/>
  <c r="AM11" i="26"/>
  <c r="AP11" i="26" s="1"/>
  <c r="AM12" i="26"/>
  <c r="AP12" i="26" s="1"/>
  <c r="AM13" i="26"/>
  <c r="AP13" i="26" s="1"/>
  <c r="AM14" i="26"/>
  <c r="AP14" i="26" s="1"/>
  <c r="AM15" i="26"/>
  <c r="AP15" i="26" s="1"/>
  <c r="AM16" i="26"/>
  <c r="AP16" i="26" s="1"/>
  <c r="AM17" i="26"/>
  <c r="AP17" i="26" s="1"/>
  <c r="AM18" i="26"/>
  <c r="AP18" i="26" s="1"/>
  <c r="AM19" i="26"/>
  <c r="AP19" i="26" s="1"/>
  <c r="X26" i="26"/>
  <c r="X28" i="26" s="1"/>
  <c r="X30" i="26" s="1"/>
  <c r="U7" i="26"/>
  <c r="V7" i="26" s="1"/>
  <c r="U7" i="25"/>
  <c r="U8" i="25"/>
  <c r="Z8" i="25" s="1"/>
  <c r="U9" i="25"/>
  <c r="U13" i="25"/>
  <c r="U10" i="25"/>
  <c r="W10" i="25" s="1"/>
  <c r="U14" i="25"/>
  <c r="U18" i="25"/>
  <c r="W18" i="25" s="1"/>
  <c r="Z6" i="25"/>
  <c r="AA6" i="25" s="1"/>
  <c r="AO6" i="25" s="1"/>
  <c r="AM20" i="25"/>
  <c r="AP20" i="25" s="1"/>
  <c r="W15" i="25"/>
  <c r="W16" i="25"/>
  <c r="W7" i="25"/>
  <c r="AL7" i="25" s="1"/>
  <c r="W13" i="25"/>
  <c r="AM6" i="25"/>
  <c r="AP6" i="25" s="1"/>
  <c r="AM7" i="25"/>
  <c r="AP7" i="25" s="1"/>
  <c r="AM8" i="25"/>
  <c r="AP8" i="25" s="1"/>
  <c r="AM9" i="25"/>
  <c r="AP9" i="25" s="1"/>
  <c r="AM10" i="25"/>
  <c r="AP10" i="25" s="1"/>
  <c r="AM11" i="25"/>
  <c r="AP11" i="25" s="1"/>
  <c r="AM12" i="25"/>
  <c r="AP12" i="25" s="1"/>
  <c r="AM13" i="25"/>
  <c r="AP13" i="25" s="1"/>
  <c r="AM14" i="25"/>
  <c r="AP14" i="25" s="1"/>
  <c r="AM15" i="25"/>
  <c r="AP15" i="25" s="1"/>
  <c r="AM16" i="25"/>
  <c r="AP16" i="25" s="1"/>
  <c r="AM17" i="25"/>
  <c r="AP17" i="25" s="1"/>
  <c r="AM18" i="25"/>
  <c r="AP18" i="25" s="1"/>
  <c r="AM19" i="25"/>
  <c r="AP19" i="25" s="1"/>
  <c r="X26" i="25"/>
  <c r="X28" i="25" s="1"/>
  <c r="X30" i="25" s="1"/>
  <c r="AM13" i="24"/>
  <c r="AP13" i="24" s="1"/>
  <c r="AM26" i="24"/>
  <c r="AP26" i="24" s="1"/>
  <c r="AM23" i="24"/>
  <c r="AP23" i="24" s="1"/>
  <c r="AM28" i="24"/>
  <c r="AP28" i="24" s="1"/>
  <c r="AM25" i="24"/>
  <c r="AP25" i="24" s="1"/>
  <c r="AM22" i="24"/>
  <c r="AP22" i="24" s="1"/>
  <c r="AM27" i="24"/>
  <c r="AP27" i="24" s="1"/>
  <c r="AM24" i="24"/>
  <c r="AP24" i="24" s="1"/>
  <c r="AM29" i="24"/>
  <c r="AP29" i="24" s="1"/>
  <c r="AM21" i="24"/>
  <c r="AP21" i="24" s="1"/>
  <c r="W27" i="24"/>
  <c r="W26" i="24"/>
  <c r="W24" i="24"/>
  <c r="W25" i="24"/>
  <c r="W23" i="24"/>
  <c r="W21" i="24"/>
  <c r="U22" i="24"/>
  <c r="AM18" i="24"/>
  <c r="AP18" i="24" s="1"/>
  <c r="U8" i="24"/>
  <c r="U13" i="24"/>
  <c r="AM8" i="24"/>
  <c r="AP8" i="24" s="1"/>
  <c r="AM12" i="24"/>
  <c r="AP12" i="24" s="1"/>
  <c r="AM16" i="24"/>
  <c r="AP16" i="24" s="1"/>
  <c r="U10" i="24"/>
  <c r="U18" i="24"/>
  <c r="W18" i="24" s="1"/>
  <c r="AM9" i="24"/>
  <c r="AP9" i="24" s="1"/>
  <c r="U19" i="24"/>
  <c r="AM10" i="24"/>
  <c r="AP10" i="24" s="1"/>
  <c r="AM14" i="24"/>
  <c r="AP14" i="24" s="1"/>
  <c r="AM19" i="24"/>
  <c r="AP19" i="24" s="1"/>
  <c r="U9" i="24"/>
  <c r="AM15" i="24"/>
  <c r="AP15" i="24" s="1"/>
  <c r="U14" i="24"/>
  <c r="AM6" i="24"/>
  <c r="AP6" i="24" s="1"/>
  <c r="W11" i="24"/>
  <c r="W12" i="24"/>
  <c r="W16" i="24"/>
  <c r="W20" i="24"/>
  <c r="W13" i="24"/>
  <c r="AM20" i="24"/>
  <c r="AP20" i="24" s="1"/>
  <c r="Z6" i="24"/>
  <c r="AA6" i="24" s="1"/>
  <c r="AO6" i="24" s="1"/>
  <c r="X38" i="24"/>
  <c r="X40" i="24" s="1"/>
  <c r="U9" i="23"/>
  <c r="U14" i="23"/>
  <c r="U7" i="23"/>
  <c r="U11" i="23"/>
  <c r="W11" i="23" s="1"/>
  <c r="U15" i="23"/>
  <c r="U19" i="23"/>
  <c r="W19" i="23" s="1"/>
  <c r="Z8" i="23"/>
  <c r="W20" i="23"/>
  <c r="W14" i="23"/>
  <c r="AM6" i="23"/>
  <c r="AP6" i="23" s="1"/>
  <c r="AM7" i="23"/>
  <c r="AP7" i="23" s="1"/>
  <c r="AM8" i="23"/>
  <c r="AP8" i="23" s="1"/>
  <c r="AM9" i="23"/>
  <c r="AP9" i="23" s="1"/>
  <c r="AM10" i="23"/>
  <c r="AP10" i="23" s="1"/>
  <c r="AM11" i="23"/>
  <c r="AP11" i="23" s="1"/>
  <c r="AM12" i="23"/>
  <c r="AP12" i="23" s="1"/>
  <c r="AM13" i="23"/>
  <c r="AP13" i="23" s="1"/>
  <c r="AM14" i="23"/>
  <c r="AP14" i="23" s="1"/>
  <c r="AM15" i="23"/>
  <c r="AP15" i="23" s="1"/>
  <c r="AM16" i="23"/>
  <c r="AP16" i="23" s="1"/>
  <c r="AM17" i="23"/>
  <c r="AP17" i="23" s="1"/>
  <c r="AM18" i="23"/>
  <c r="AP18" i="23" s="1"/>
  <c r="AM19" i="23"/>
  <c r="AP19" i="23" s="1"/>
  <c r="AM20" i="23"/>
  <c r="AP20" i="23" s="1"/>
  <c r="Z6" i="23"/>
  <c r="AA6" i="23" s="1"/>
  <c r="AO6" i="23" s="1"/>
  <c r="X28" i="23"/>
  <c r="X30" i="23" s="1"/>
  <c r="U19" i="22"/>
  <c r="U15" i="22"/>
  <c r="Z15" i="22" s="1"/>
  <c r="U10" i="22"/>
  <c r="Z10" i="22" s="1"/>
  <c r="U9" i="22"/>
  <c r="U14" i="22"/>
  <c r="Z14" i="22" s="1"/>
  <c r="U11" i="22"/>
  <c r="Z11" i="22" s="1"/>
  <c r="U16" i="22"/>
  <c r="Z16" i="22" s="1"/>
  <c r="U12" i="22"/>
  <c r="Z12" i="22" s="1"/>
  <c r="X29" i="22"/>
  <c r="X31" i="22" s="1"/>
  <c r="U13" i="22"/>
  <c r="U18" i="22"/>
  <c r="Z18" i="22" s="1"/>
  <c r="Z19" i="22"/>
  <c r="Z8" i="22"/>
  <c r="Z20" i="22"/>
  <c r="W9" i="22"/>
  <c r="Z17" i="22"/>
  <c r="AM6" i="22"/>
  <c r="AP6" i="22" s="1"/>
  <c r="AM7" i="22"/>
  <c r="AP7" i="22" s="1"/>
  <c r="AM8" i="22"/>
  <c r="AP8" i="22" s="1"/>
  <c r="AM9" i="22"/>
  <c r="AP9" i="22" s="1"/>
  <c r="AM10" i="22"/>
  <c r="AP10" i="22" s="1"/>
  <c r="AM11" i="22"/>
  <c r="AP11" i="22" s="1"/>
  <c r="AM12" i="22"/>
  <c r="AP12" i="22" s="1"/>
  <c r="AM13" i="22"/>
  <c r="AP13" i="22" s="1"/>
  <c r="AM14" i="22"/>
  <c r="AP14" i="22" s="1"/>
  <c r="AM15" i="22"/>
  <c r="AP15" i="22" s="1"/>
  <c r="AM16" i="22"/>
  <c r="AP16" i="22" s="1"/>
  <c r="AM17" i="22"/>
  <c r="AP17" i="22" s="1"/>
  <c r="AM18" i="22"/>
  <c r="AP18" i="22" s="1"/>
  <c r="AM19" i="22"/>
  <c r="AP19" i="22" s="1"/>
  <c r="AM20" i="22"/>
  <c r="AP20" i="22" s="1"/>
  <c r="U7" i="22"/>
  <c r="X28" i="21"/>
  <c r="X30" i="21" s="1"/>
  <c r="AM20" i="21"/>
  <c r="AP20" i="21" s="1"/>
  <c r="X20" i="21"/>
  <c r="Z20" i="21"/>
  <c r="W20" i="21"/>
  <c r="Z6" i="21"/>
  <c r="AA6" i="21" s="1"/>
  <c r="AO6" i="21" s="1"/>
  <c r="AM9" i="21"/>
  <c r="AP9" i="21" s="1"/>
  <c r="AM13" i="21"/>
  <c r="AP13" i="21" s="1"/>
  <c r="AM17" i="21"/>
  <c r="AP17" i="21" s="1"/>
  <c r="AM10" i="21"/>
  <c r="AP10" i="21" s="1"/>
  <c r="W15" i="21"/>
  <c r="W19" i="21"/>
  <c r="AM19" i="21"/>
  <c r="AP19" i="21" s="1"/>
  <c r="Z8" i="21"/>
  <c r="AM8" i="21"/>
  <c r="AP8" i="21" s="1"/>
  <c r="AM12" i="21"/>
  <c r="AP12" i="21" s="1"/>
  <c r="AM16" i="21"/>
  <c r="AP16" i="21" s="1"/>
  <c r="U7" i="21"/>
  <c r="U9" i="21"/>
  <c r="U10" i="21"/>
  <c r="U11" i="21"/>
  <c r="U12" i="21"/>
  <c r="U13" i="21"/>
  <c r="U14" i="21"/>
  <c r="U16" i="21"/>
  <c r="U17" i="21"/>
  <c r="U18" i="21"/>
  <c r="AM6" i="21"/>
  <c r="AP6" i="21" s="1"/>
  <c r="AM7" i="21"/>
  <c r="AP7" i="21" s="1"/>
  <c r="AM14" i="21"/>
  <c r="AP14" i="21" s="1"/>
  <c r="AM18" i="21"/>
  <c r="AP18" i="21" s="1"/>
  <c r="AM19" i="20"/>
  <c r="AP19" i="20" s="1"/>
  <c r="AM14" i="20"/>
  <c r="AP14" i="20" s="1"/>
  <c r="AM7" i="20"/>
  <c r="AP7" i="20" s="1"/>
  <c r="AM6" i="20"/>
  <c r="AP6" i="20" s="1"/>
  <c r="U14" i="20"/>
  <c r="Z14" i="20" s="1"/>
  <c r="U17" i="20"/>
  <c r="Z17" i="20" s="1"/>
  <c r="U9" i="20"/>
  <c r="U13" i="20"/>
  <c r="AM15" i="20"/>
  <c r="AP15" i="20" s="1"/>
  <c r="AM13" i="20"/>
  <c r="AP13" i="20" s="1"/>
  <c r="U10" i="20"/>
  <c r="W10" i="20" s="1"/>
  <c r="AM11" i="20"/>
  <c r="AP11" i="20" s="1"/>
  <c r="AM10" i="20"/>
  <c r="AP10" i="20" s="1"/>
  <c r="AM18" i="20"/>
  <c r="AP18" i="20" s="1"/>
  <c r="U7" i="20"/>
  <c r="U15" i="20"/>
  <c r="U8" i="20"/>
  <c r="U16" i="20"/>
  <c r="U11" i="20"/>
  <c r="W18" i="20"/>
  <c r="U19" i="20"/>
  <c r="X28" i="20"/>
  <c r="X30" i="20" s="1"/>
  <c r="U12" i="20"/>
  <c r="X27" i="12"/>
  <c r="U14" i="12"/>
  <c r="Z14" i="12" s="1"/>
  <c r="U7" i="12"/>
  <c r="U10" i="12"/>
  <c r="Z10" i="12" s="1"/>
  <c r="AM10" i="12"/>
  <c r="AP10" i="12" s="1"/>
  <c r="AM14" i="12"/>
  <c r="AP14" i="12" s="1"/>
  <c r="AM7" i="12"/>
  <c r="AP7" i="12" s="1"/>
  <c r="AM11" i="12"/>
  <c r="AP11" i="12" s="1"/>
  <c r="AM15" i="12"/>
  <c r="AP15" i="12" s="1"/>
  <c r="AM9" i="12"/>
  <c r="AP9" i="12" s="1"/>
  <c r="U11" i="12"/>
  <c r="U15" i="12"/>
  <c r="AM13" i="12"/>
  <c r="AP13" i="12" s="1"/>
  <c r="AM6" i="12"/>
  <c r="AP6" i="12" s="1"/>
  <c r="X29" i="12"/>
  <c r="X31" i="12" s="1"/>
  <c r="AM8" i="12"/>
  <c r="AP8" i="12" s="1"/>
  <c r="AM12" i="12"/>
  <c r="AP12" i="12" s="1"/>
  <c r="AM16" i="12"/>
  <c r="AP16" i="12" s="1"/>
  <c r="Z6" i="12"/>
  <c r="AA6" i="12" s="1"/>
  <c r="AO6" i="12" s="1"/>
  <c r="U8" i="12"/>
  <c r="U12" i="12"/>
  <c r="U16" i="12"/>
  <c r="AM17" i="12"/>
  <c r="AP17" i="12" s="1"/>
  <c r="AM18" i="12"/>
  <c r="AP18" i="12" s="1"/>
  <c r="AM19" i="12"/>
  <c r="AP19" i="12" s="1"/>
  <c r="AM20" i="12"/>
  <c r="AP20" i="12" s="1"/>
  <c r="U9" i="12"/>
  <c r="U13" i="12"/>
  <c r="U17" i="12"/>
  <c r="U18" i="12"/>
  <c r="U19" i="12"/>
  <c r="U20" i="12"/>
  <c r="U15" i="11"/>
  <c r="U20" i="11"/>
  <c r="W20" i="11" s="1"/>
  <c r="U9" i="11"/>
  <c r="W9" i="11" s="1"/>
  <c r="U13" i="11"/>
  <c r="U21" i="11"/>
  <c r="W21" i="11" s="1"/>
  <c r="U25" i="11"/>
  <c r="W25" i="11" s="1"/>
  <c r="U22" i="11"/>
  <c r="U7" i="11"/>
  <c r="Z7" i="11" s="1"/>
  <c r="U11" i="11"/>
  <c r="U8" i="11"/>
  <c r="U12" i="11"/>
  <c r="U17" i="11"/>
  <c r="W10" i="11"/>
  <c r="W14" i="11"/>
  <c r="W26" i="11"/>
  <c r="W19" i="11"/>
  <c r="W23" i="11"/>
  <c r="W12" i="11"/>
  <c r="W24" i="11"/>
  <c r="W11" i="11"/>
  <c r="AM6" i="11"/>
  <c r="AP6" i="11" s="1"/>
  <c r="AM7" i="11"/>
  <c r="AP7" i="11" s="1"/>
  <c r="AM8" i="11"/>
  <c r="AP8" i="11" s="1"/>
  <c r="AM9" i="11"/>
  <c r="AP9" i="11" s="1"/>
  <c r="AM10" i="11"/>
  <c r="AP10" i="11" s="1"/>
  <c r="AM11" i="11"/>
  <c r="AP11" i="11" s="1"/>
  <c r="AM12" i="11"/>
  <c r="AP12" i="11" s="1"/>
  <c r="AM13" i="11"/>
  <c r="AP13" i="11" s="1"/>
  <c r="AM14" i="11"/>
  <c r="AP14" i="11" s="1"/>
  <c r="AM15" i="11"/>
  <c r="AP15" i="11" s="1"/>
  <c r="AM16" i="11"/>
  <c r="AP16" i="11" s="1"/>
  <c r="AM17" i="11"/>
  <c r="AP17" i="11" s="1"/>
  <c r="AM18" i="11"/>
  <c r="AP18" i="11" s="1"/>
  <c r="AM19" i="11"/>
  <c r="AP19" i="11" s="1"/>
  <c r="AM20" i="11"/>
  <c r="AP20" i="11" s="1"/>
  <c r="AM21" i="11"/>
  <c r="AP21" i="11" s="1"/>
  <c r="AM22" i="11"/>
  <c r="AP22" i="11" s="1"/>
  <c r="AM23" i="11"/>
  <c r="AP23" i="11" s="1"/>
  <c r="AM24" i="11"/>
  <c r="AP24" i="11" s="1"/>
  <c r="AM25" i="11"/>
  <c r="AP25" i="11" s="1"/>
  <c r="AM26" i="11"/>
  <c r="AP26" i="11" s="1"/>
  <c r="Z6" i="11"/>
  <c r="AA6" i="11" s="1"/>
  <c r="AO6" i="11" s="1"/>
  <c r="X34" i="11"/>
  <c r="X36" i="11" s="1"/>
  <c r="AN27" i="9"/>
  <c r="AN26" i="9"/>
  <c r="AN25" i="9"/>
  <c r="AN23" i="9"/>
  <c r="AN22" i="9"/>
  <c r="AN24" i="9"/>
  <c r="AN21" i="9"/>
  <c r="AN20" i="9"/>
  <c r="AM10" i="9"/>
  <c r="AP10" i="9" s="1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AM12" i="9"/>
  <c r="AP12" i="9" s="1"/>
  <c r="Z6" i="9"/>
  <c r="AA6" i="9" s="1"/>
  <c r="AO6" i="9" s="1"/>
  <c r="AM8" i="9"/>
  <c r="AP8" i="9" s="1"/>
  <c r="AM14" i="9"/>
  <c r="AP14" i="9" s="1"/>
  <c r="AM17" i="9"/>
  <c r="AP17" i="9" s="1"/>
  <c r="AM9" i="9"/>
  <c r="AP9" i="9" s="1"/>
  <c r="AM11" i="9"/>
  <c r="AP11" i="9" s="1"/>
  <c r="AM13" i="9"/>
  <c r="AP13" i="9" s="1"/>
  <c r="AM15" i="9"/>
  <c r="AP15" i="9" s="1"/>
  <c r="X35" i="9"/>
  <c r="X37" i="9" s="1"/>
  <c r="AM7" i="9"/>
  <c r="AP7" i="9" s="1"/>
  <c r="AM18" i="9"/>
  <c r="AP18" i="9" s="1"/>
  <c r="AM16" i="9"/>
  <c r="AP16" i="9" s="1"/>
  <c r="AM19" i="9"/>
  <c r="AP19" i="9" s="1"/>
  <c r="AM6" i="9"/>
  <c r="AP6" i="9" s="1"/>
  <c r="AP10" i="8"/>
  <c r="AP11" i="8"/>
  <c r="AP15" i="8"/>
  <c r="U9" i="8"/>
  <c r="U17" i="8"/>
  <c r="AP12" i="8"/>
  <c r="AP16" i="8"/>
  <c r="AP13" i="8"/>
  <c r="AP18" i="8"/>
  <c r="U8" i="8"/>
  <c r="Z8" i="8" s="1"/>
  <c r="AP19" i="8"/>
  <c r="U13" i="8"/>
  <c r="W13" i="8" s="1"/>
  <c r="U18" i="8"/>
  <c r="AN6" i="8"/>
  <c r="AM6" i="8"/>
  <c r="AP6" i="8" s="1"/>
  <c r="W11" i="8"/>
  <c r="W16" i="8"/>
  <c r="X26" i="8"/>
  <c r="X28" i="8" s="1"/>
  <c r="X30" i="8" s="1"/>
  <c r="U7" i="8"/>
  <c r="Y8" i="41" l="1"/>
  <c r="AA8" i="41" s="1"/>
  <c r="AO8" i="41" s="1"/>
  <c r="AA17" i="41"/>
  <c r="AO17" i="41" s="1"/>
  <c r="AA16" i="41"/>
  <c r="AO16" i="41" s="1"/>
  <c r="AA7" i="41"/>
  <c r="AO7" i="41" s="1"/>
  <c r="AA12" i="41"/>
  <c r="AO12" i="41" s="1"/>
  <c r="AA15" i="41"/>
  <c r="AO15" i="41" s="1"/>
  <c r="AA10" i="41"/>
  <c r="AO10" i="41" s="1"/>
  <c r="AA13" i="41"/>
  <c r="AO13" i="41" s="1"/>
  <c r="AA9" i="41"/>
  <c r="AO9" i="41" s="1"/>
  <c r="AA11" i="41"/>
  <c r="AO11" i="41" s="1"/>
  <c r="AL8" i="41"/>
  <c r="AN7" i="41"/>
  <c r="AA18" i="41"/>
  <c r="AO18" i="41" s="1"/>
  <c r="AA14" i="41"/>
  <c r="AO14" i="41" s="1"/>
  <c r="AA13" i="40"/>
  <c r="AO13" i="40" s="1"/>
  <c r="AA7" i="40"/>
  <c r="AO7" i="40" s="1"/>
  <c r="AA17" i="40"/>
  <c r="AO17" i="40" s="1"/>
  <c r="AA12" i="40"/>
  <c r="AO12" i="40" s="1"/>
  <c r="AA16" i="40"/>
  <c r="AO16" i="40" s="1"/>
  <c r="AL8" i="40"/>
  <c r="AN7" i="40"/>
  <c r="AA11" i="40"/>
  <c r="AO11" i="40" s="1"/>
  <c r="AA19" i="40"/>
  <c r="AO19" i="40" s="1"/>
  <c r="AA15" i="40"/>
  <c r="AO15" i="40" s="1"/>
  <c r="AA14" i="40"/>
  <c r="AO14" i="40" s="1"/>
  <c r="AA10" i="40"/>
  <c r="AO10" i="40" s="1"/>
  <c r="AA18" i="40"/>
  <c r="AO18" i="40" s="1"/>
  <c r="Z12" i="39"/>
  <c r="X13" i="39"/>
  <c r="AA13" i="39" s="1"/>
  <c r="AO13" i="39" s="1"/>
  <c r="X14" i="39"/>
  <c r="AA14" i="39" s="1"/>
  <c r="AO14" i="39" s="1"/>
  <c r="X12" i="39"/>
  <c r="W7" i="39"/>
  <c r="AL7" i="39" s="1"/>
  <c r="Z7" i="39"/>
  <c r="X8" i="39"/>
  <c r="AA8" i="39" s="1"/>
  <c r="AO8" i="39" s="1"/>
  <c r="X7" i="39"/>
  <c r="X16" i="39"/>
  <c r="AA16" i="39" s="1"/>
  <c r="AO16" i="39" s="1"/>
  <c r="X18" i="39"/>
  <c r="AA18" i="39" s="1"/>
  <c r="AO18" i="39" s="1"/>
  <c r="X15" i="39"/>
  <c r="AA15" i="39" s="1"/>
  <c r="AO15" i="39" s="1"/>
  <c r="X11" i="39"/>
  <c r="AA11" i="39" s="1"/>
  <c r="AO11" i="39" s="1"/>
  <c r="X10" i="39"/>
  <c r="AA10" i="39" s="1"/>
  <c r="AO10" i="39" s="1"/>
  <c r="X9" i="39"/>
  <c r="AA9" i="39" s="1"/>
  <c r="AO9" i="39" s="1"/>
  <c r="X17" i="39"/>
  <c r="AA17" i="39" s="1"/>
  <c r="AO17" i="39" s="1"/>
  <c r="W8" i="36"/>
  <c r="AL8" i="36" s="1"/>
  <c r="X10" i="36"/>
  <c r="Z10" i="36"/>
  <c r="W10" i="36"/>
  <c r="X18" i="36"/>
  <c r="Z18" i="36"/>
  <c r="X12" i="36"/>
  <c r="Z12" i="36"/>
  <c r="X8" i="36"/>
  <c r="AA8" i="36" s="1"/>
  <c r="AO8" i="36" s="1"/>
  <c r="X7" i="36"/>
  <c r="Z7" i="36"/>
  <c r="X17" i="36"/>
  <c r="Z17" i="36"/>
  <c r="AN7" i="36"/>
  <c r="X11" i="36"/>
  <c r="Z11" i="36"/>
  <c r="X13" i="36"/>
  <c r="Z13" i="36"/>
  <c r="X15" i="36"/>
  <c r="Z15" i="36"/>
  <c r="X16" i="36"/>
  <c r="Z16" i="36"/>
  <c r="X14" i="36"/>
  <c r="Z14" i="36"/>
  <c r="X9" i="36"/>
  <c r="AA9" i="36" s="1"/>
  <c r="AO9" i="36" s="1"/>
  <c r="Z9" i="36"/>
  <c r="AA12" i="38"/>
  <c r="AO12" i="38" s="1"/>
  <c r="AA10" i="38"/>
  <c r="AO10" i="38" s="1"/>
  <c r="AA8" i="38"/>
  <c r="AO8" i="38" s="1"/>
  <c r="AN8" i="38"/>
  <c r="AL9" i="38"/>
  <c r="AA7" i="38"/>
  <c r="AO7" i="38" s="1"/>
  <c r="V10" i="26"/>
  <c r="W10" i="26" s="1"/>
  <c r="V15" i="26"/>
  <c r="W15" i="26" s="1"/>
  <c r="Z13" i="26"/>
  <c r="W13" i="26"/>
  <c r="W8" i="26"/>
  <c r="Z11" i="26"/>
  <c r="Z9" i="26"/>
  <c r="Z20" i="26"/>
  <c r="Z18" i="26"/>
  <c r="Z14" i="26"/>
  <c r="X10" i="26"/>
  <c r="Y10" i="26" s="1"/>
  <c r="W14" i="26"/>
  <c r="Z16" i="26"/>
  <c r="Z19" i="26"/>
  <c r="Z17" i="26"/>
  <c r="Z12" i="26"/>
  <c r="Z15" i="26"/>
  <c r="Z10" i="26"/>
  <c r="AN7" i="25"/>
  <c r="W8" i="25"/>
  <c r="AL8" i="25" s="1"/>
  <c r="Z7" i="25"/>
  <c r="X8" i="25"/>
  <c r="AA8" i="25" s="1"/>
  <c r="AO8" i="25" s="1"/>
  <c r="X7" i="25"/>
  <c r="Z17" i="25"/>
  <c r="X17" i="25"/>
  <c r="Z20" i="25"/>
  <c r="X20" i="25"/>
  <c r="X19" i="25"/>
  <c r="Z19" i="25"/>
  <c r="Z10" i="25"/>
  <c r="X10" i="25"/>
  <c r="W17" i="25"/>
  <c r="W20" i="25"/>
  <c r="W19" i="25"/>
  <c r="Z18" i="25"/>
  <c r="X18" i="25"/>
  <c r="AA18" i="25" s="1"/>
  <c r="AO18" i="25" s="1"/>
  <c r="Z13" i="25"/>
  <c r="X13" i="25"/>
  <c r="Z16" i="25"/>
  <c r="X16" i="25"/>
  <c r="Z15" i="25"/>
  <c r="X15" i="25"/>
  <c r="Z14" i="25"/>
  <c r="X14" i="25"/>
  <c r="AA14" i="25" s="1"/>
  <c r="AO14" i="25" s="1"/>
  <c r="Z9" i="25"/>
  <c r="X9" i="25"/>
  <c r="Z12" i="25"/>
  <c r="X12" i="25"/>
  <c r="Z11" i="25"/>
  <c r="X11" i="25"/>
  <c r="W14" i="25"/>
  <c r="W9" i="25"/>
  <c r="W12" i="25"/>
  <c r="W11" i="25"/>
  <c r="W29" i="24"/>
  <c r="W28" i="24"/>
  <c r="W19" i="24"/>
  <c r="W8" i="24"/>
  <c r="X10" i="24"/>
  <c r="W10" i="24"/>
  <c r="X7" i="24"/>
  <c r="AA7" i="24" s="1"/>
  <c r="AO7" i="24" s="1"/>
  <c r="X8" i="24"/>
  <c r="AA8" i="24" s="1"/>
  <c r="AO8" i="24" s="1"/>
  <c r="X20" i="24"/>
  <c r="X12" i="24"/>
  <c r="W7" i="24"/>
  <c r="AL7" i="24" s="1"/>
  <c r="X19" i="24"/>
  <c r="X17" i="24"/>
  <c r="X9" i="24"/>
  <c r="X15" i="24"/>
  <c r="X18" i="24"/>
  <c r="X14" i="24"/>
  <c r="W17" i="24"/>
  <c r="W9" i="24"/>
  <c r="W15" i="24"/>
  <c r="W14" i="24"/>
  <c r="X13" i="24"/>
  <c r="X16" i="24"/>
  <c r="X11" i="24"/>
  <c r="W8" i="23"/>
  <c r="Z17" i="23"/>
  <c r="X17" i="23"/>
  <c r="Z13" i="23"/>
  <c r="X13" i="23"/>
  <c r="Z16" i="23"/>
  <c r="X16" i="23"/>
  <c r="W17" i="23"/>
  <c r="Z10" i="23"/>
  <c r="X10" i="23"/>
  <c r="W13" i="23"/>
  <c r="W16" i="23"/>
  <c r="Z15" i="23"/>
  <c r="X15" i="23"/>
  <c r="W10" i="23"/>
  <c r="Z7" i="23"/>
  <c r="X8" i="23"/>
  <c r="AA8" i="23" s="1"/>
  <c r="AO8" i="23" s="1"/>
  <c r="X7" i="23"/>
  <c r="Z12" i="23"/>
  <c r="X12" i="23"/>
  <c r="W15" i="23"/>
  <c r="W7" i="23"/>
  <c r="AL7" i="23" s="1"/>
  <c r="W12" i="23"/>
  <c r="Z19" i="23"/>
  <c r="X19" i="23"/>
  <c r="Z18" i="23"/>
  <c r="X18" i="23"/>
  <c r="Z9" i="23"/>
  <c r="X9" i="23"/>
  <c r="W18" i="23"/>
  <c r="W9" i="23"/>
  <c r="Z20" i="23"/>
  <c r="X20" i="23"/>
  <c r="Z11" i="23"/>
  <c r="X11" i="23"/>
  <c r="Z14" i="23"/>
  <c r="X14" i="23"/>
  <c r="W8" i="22"/>
  <c r="Z9" i="22"/>
  <c r="W14" i="22"/>
  <c r="W10" i="22"/>
  <c r="W20" i="22"/>
  <c r="W19" i="22"/>
  <c r="W17" i="22"/>
  <c r="W16" i="22"/>
  <c r="W15" i="22"/>
  <c r="W18" i="22"/>
  <c r="W13" i="22"/>
  <c r="W12" i="22"/>
  <c r="W11" i="22"/>
  <c r="X12" i="22"/>
  <c r="AA12" i="22" s="1"/>
  <c r="AO12" i="22" s="1"/>
  <c r="Z13" i="22"/>
  <c r="AA20" i="21"/>
  <c r="AO20" i="21" s="1"/>
  <c r="W8" i="21"/>
  <c r="Z19" i="21"/>
  <c r="Z15" i="21"/>
  <c r="W9" i="21"/>
  <c r="W10" i="21"/>
  <c r="Z13" i="20"/>
  <c r="Z9" i="20"/>
  <c r="Z18" i="20"/>
  <c r="W17" i="20"/>
  <c r="Z10" i="20"/>
  <c r="W14" i="20"/>
  <c r="W11" i="20"/>
  <c r="W13" i="12"/>
  <c r="X7" i="12"/>
  <c r="W9" i="12"/>
  <c r="W7" i="12"/>
  <c r="AL7" i="12" s="1"/>
  <c r="Z7" i="12"/>
  <c r="W14" i="12"/>
  <c r="W20" i="12"/>
  <c r="W19" i="12"/>
  <c r="W15" i="12"/>
  <c r="W12" i="12"/>
  <c r="W17" i="12"/>
  <c r="Z8" i="12"/>
  <c r="W10" i="12"/>
  <c r="W22" i="11"/>
  <c r="Z8" i="11"/>
  <c r="W17" i="11"/>
  <c r="Z16" i="11"/>
  <c r="X16" i="11"/>
  <c r="Z15" i="11"/>
  <c r="X15" i="11"/>
  <c r="X8" i="11"/>
  <c r="AA8" i="11" s="1"/>
  <c r="AO8" i="11" s="1"/>
  <c r="X7" i="11"/>
  <c r="AA7" i="11" s="1"/>
  <c r="AO7" i="11" s="1"/>
  <c r="Z18" i="11"/>
  <c r="Z13" i="11"/>
  <c r="X13" i="11"/>
  <c r="W16" i="11"/>
  <c r="W15" i="11"/>
  <c r="W7" i="11"/>
  <c r="AL7" i="11" s="1"/>
  <c r="W18" i="11"/>
  <c r="W13" i="11"/>
  <c r="Z12" i="11"/>
  <c r="X12" i="11"/>
  <c r="AA12" i="11" s="1"/>
  <c r="AO12" i="11" s="1"/>
  <c r="Z17" i="11"/>
  <c r="X17" i="11"/>
  <c r="Z25" i="11"/>
  <c r="X25" i="11"/>
  <c r="Z14" i="11"/>
  <c r="X14" i="11"/>
  <c r="Z24" i="11"/>
  <c r="X24" i="11"/>
  <c r="AA24" i="11" s="1"/>
  <c r="AO24" i="11" s="1"/>
  <c r="Z19" i="11"/>
  <c r="X19" i="11"/>
  <c r="Z26" i="11"/>
  <c r="X26" i="11"/>
  <c r="Z10" i="11"/>
  <c r="X10" i="11"/>
  <c r="Z20" i="11"/>
  <c r="X20" i="11"/>
  <c r="Z23" i="11"/>
  <c r="X23" i="11"/>
  <c r="Z21" i="11"/>
  <c r="X21" i="11"/>
  <c r="Z22" i="11"/>
  <c r="X22" i="11"/>
  <c r="Z9" i="11"/>
  <c r="X9" i="11"/>
  <c r="Z11" i="11"/>
  <c r="X11" i="11"/>
  <c r="Z8" i="9"/>
  <c r="W7" i="9"/>
  <c r="Z10" i="8"/>
  <c r="Z17" i="8"/>
  <c r="X10" i="8"/>
  <c r="W17" i="8"/>
  <c r="Z18" i="8"/>
  <c r="Z12" i="8"/>
  <c r="Z9" i="8"/>
  <c r="W18" i="8"/>
  <c r="W12" i="8"/>
  <c r="W9" i="8"/>
  <c r="Z16" i="8"/>
  <c r="Z14" i="8"/>
  <c r="Z15" i="8"/>
  <c r="Z19" i="8"/>
  <c r="Z11" i="8"/>
  <c r="W10" i="8"/>
  <c r="Z13" i="8"/>
  <c r="W14" i="8"/>
  <c r="W8" i="8"/>
  <c r="W15" i="8"/>
  <c r="W19" i="8"/>
  <c r="AL9" i="41" l="1"/>
  <c r="AN8" i="41"/>
  <c r="AL9" i="40"/>
  <c r="AN8" i="40"/>
  <c r="AA7" i="39"/>
  <c r="AO7" i="39" s="1"/>
  <c r="AA12" i="39"/>
  <c r="AO12" i="39" s="1"/>
  <c r="AL8" i="39"/>
  <c r="AN7" i="39"/>
  <c r="AA16" i="36"/>
  <c r="AO16" i="36" s="1"/>
  <c r="AA18" i="36"/>
  <c r="AO18" i="36" s="1"/>
  <c r="AA17" i="36"/>
  <c r="AO17" i="36" s="1"/>
  <c r="AA15" i="36"/>
  <c r="AO15" i="36" s="1"/>
  <c r="AA14" i="36"/>
  <c r="AO14" i="36" s="1"/>
  <c r="AA13" i="36"/>
  <c r="AO13" i="36" s="1"/>
  <c r="AA7" i="36"/>
  <c r="AO7" i="36" s="1"/>
  <c r="AA10" i="36"/>
  <c r="AO10" i="36" s="1"/>
  <c r="AA11" i="36"/>
  <c r="AO11" i="36" s="1"/>
  <c r="AA12" i="36"/>
  <c r="AO12" i="36" s="1"/>
  <c r="AL9" i="36"/>
  <c r="AN8" i="36"/>
  <c r="AN9" i="38"/>
  <c r="AL10" i="38"/>
  <c r="AA10" i="26"/>
  <c r="AO10" i="26" s="1"/>
  <c r="X11" i="26"/>
  <c r="Z7" i="26"/>
  <c r="X8" i="26"/>
  <c r="X7" i="26"/>
  <c r="Y7" i="26" s="1"/>
  <c r="X19" i="26"/>
  <c r="X18" i="26"/>
  <c r="X12" i="26"/>
  <c r="X17" i="26"/>
  <c r="X14" i="26"/>
  <c r="X15" i="26"/>
  <c r="X9" i="26"/>
  <c r="W7" i="26"/>
  <c r="X16" i="26"/>
  <c r="X20" i="26"/>
  <c r="X13" i="26"/>
  <c r="AA9" i="25"/>
  <c r="AO9" i="25" s="1"/>
  <c r="AA13" i="25"/>
  <c r="AO13" i="25" s="1"/>
  <c r="AA19" i="25"/>
  <c r="AO19" i="25" s="1"/>
  <c r="AA10" i="25"/>
  <c r="AO10" i="25" s="1"/>
  <c r="AA7" i="25"/>
  <c r="AO7" i="25" s="1"/>
  <c r="AA17" i="25"/>
  <c r="AO17" i="25" s="1"/>
  <c r="AA20" i="25"/>
  <c r="AO20" i="25" s="1"/>
  <c r="AL9" i="25"/>
  <c r="AN8" i="25"/>
  <c r="AA12" i="25"/>
  <c r="AO12" i="25" s="1"/>
  <c r="AA16" i="25"/>
  <c r="AO16" i="25" s="1"/>
  <c r="AA11" i="25"/>
  <c r="AO11" i="25" s="1"/>
  <c r="AA15" i="25"/>
  <c r="AO15" i="25" s="1"/>
  <c r="AA13" i="24"/>
  <c r="AO13" i="24" s="1"/>
  <c r="AA18" i="24"/>
  <c r="AO18" i="24" s="1"/>
  <c r="AA19" i="24"/>
  <c r="AO19" i="24" s="1"/>
  <c r="AA23" i="24"/>
  <c r="AO23" i="24" s="1"/>
  <c r="AA15" i="24"/>
  <c r="AO15" i="24" s="1"/>
  <c r="AA29" i="24"/>
  <c r="AO29" i="24" s="1"/>
  <c r="AA24" i="24"/>
  <c r="AO24" i="24" s="1"/>
  <c r="AA26" i="24"/>
  <c r="AO26" i="24" s="1"/>
  <c r="AA21" i="24"/>
  <c r="AO21" i="24" s="1"/>
  <c r="AA28" i="24"/>
  <c r="AO28" i="24" s="1"/>
  <c r="W22" i="24"/>
  <c r="AA25" i="24"/>
  <c r="AO25" i="24" s="1"/>
  <c r="AA27" i="24"/>
  <c r="AO27" i="24" s="1"/>
  <c r="AA16" i="24"/>
  <c r="AO16" i="24" s="1"/>
  <c r="AA11" i="24"/>
  <c r="AO11" i="24" s="1"/>
  <c r="AA9" i="24"/>
  <c r="AO9" i="24" s="1"/>
  <c r="AA14" i="24"/>
  <c r="AO14" i="24" s="1"/>
  <c r="AA17" i="24"/>
  <c r="AO17" i="24" s="1"/>
  <c r="AA20" i="24"/>
  <c r="AO20" i="24" s="1"/>
  <c r="AL8" i="24"/>
  <c r="AN7" i="24"/>
  <c r="AA12" i="24"/>
  <c r="AO12" i="24" s="1"/>
  <c r="AA10" i="24"/>
  <c r="AO10" i="24" s="1"/>
  <c r="AA12" i="23"/>
  <c r="AO12" i="23" s="1"/>
  <c r="AA11" i="23"/>
  <c r="AO11" i="23" s="1"/>
  <c r="AA18" i="23"/>
  <c r="AO18" i="23" s="1"/>
  <c r="AA13" i="23"/>
  <c r="AO13" i="23" s="1"/>
  <c r="AA7" i="23"/>
  <c r="AO7" i="23" s="1"/>
  <c r="AL8" i="23"/>
  <c r="AN7" i="23"/>
  <c r="AA14" i="23"/>
  <c r="AO14" i="23" s="1"/>
  <c r="AA9" i="23"/>
  <c r="AO9" i="23" s="1"/>
  <c r="AA16" i="23"/>
  <c r="AO16" i="23" s="1"/>
  <c r="AA15" i="23"/>
  <c r="AO15" i="23" s="1"/>
  <c r="AA20" i="23"/>
  <c r="AO20" i="23" s="1"/>
  <c r="AA19" i="23"/>
  <c r="AO19" i="23" s="1"/>
  <c r="AA17" i="23"/>
  <c r="AO17" i="23" s="1"/>
  <c r="AA10" i="23"/>
  <c r="AO10" i="23" s="1"/>
  <c r="X17" i="22"/>
  <c r="AA17" i="22" s="1"/>
  <c r="AO17" i="22" s="1"/>
  <c r="X16" i="22"/>
  <c r="AA16" i="22" s="1"/>
  <c r="AO16" i="22" s="1"/>
  <c r="X11" i="22"/>
  <c r="AA11" i="22" s="1"/>
  <c r="AO11" i="22" s="1"/>
  <c r="X14" i="22"/>
  <c r="AA14" i="22" s="1"/>
  <c r="AO14" i="22" s="1"/>
  <c r="X8" i="22"/>
  <c r="AA8" i="22" s="1"/>
  <c r="AO8" i="22" s="1"/>
  <c r="X7" i="22"/>
  <c r="Z7" i="22"/>
  <c r="X13" i="22"/>
  <c r="AA13" i="22" s="1"/>
  <c r="AO13" i="22" s="1"/>
  <c r="W7" i="22"/>
  <c r="AL7" i="22" s="1"/>
  <c r="X18" i="22"/>
  <c r="AA18" i="22" s="1"/>
  <c r="AO18" i="22" s="1"/>
  <c r="X19" i="22"/>
  <c r="AA19" i="22" s="1"/>
  <c r="AO19" i="22" s="1"/>
  <c r="X20" i="22"/>
  <c r="AA20" i="22" s="1"/>
  <c r="AO20" i="22" s="1"/>
  <c r="X9" i="22"/>
  <c r="AA9" i="22" s="1"/>
  <c r="AO9" i="22" s="1"/>
  <c r="X15" i="22"/>
  <c r="AA15" i="22" s="1"/>
  <c r="AO15" i="22" s="1"/>
  <c r="X10" i="22"/>
  <c r="AA10" i="22" s="1"/>
  <c r="AO10" i="22" s="1"/>
  <c r="X15" i="21"/>
  <c r="AA15" i="21" s="1"/>
  <c r="AO15" i="21" s="1"/>
  <c r="Z10" i="21"/>
  <c r="X10" i="21"/>
  <c r="AA10" i="21" s="1"/>
  <c r="AO10" i="21" s="1"/>
  <c r="Z18" i="21"/>
  <c r="X18" i="21"/>
  <c r="AA18" i="21" s="1"/>
  <c r="AO18" i="21" s="1"/>
  <c r="Z12" i="21"/>
  <c r="X12" i="21"/>
  <c r="X17" i="21"/>
  <c r="Z17" i="21"/>
  <c r="Z9" i="21"/>
  <c r="X9" i="21"/>
  <c r="AA9" i="21" s="1"/>
  <c r="AO9" i="21" s="1"/>
  <c r="W18" i="21"/>
  <c r="W12" i="21"/>
  <c r="W17" i="21"/>
  <c r="Z11" i="21"/>
  <c r="X11" i="21"/>
  <c r="Z16" i="21"/>
  <c r="X16" i="21"/>
  <c r="W11" i="21"/>
  <c r="W16" i="21"/>
  <c r="X13" i="21"/>
  <c r="Z13" i="21"/>
  <c r="X14" i="21"/>
  <c r="Z14" i="21"/>
  <c r="Z7" i="21"/>
  <c r="X8" i="21"/>
  <c r="AA8" i="21" s="1"/>
  <c r="AO8" i="21" s="1"/>
  <c r="X7" i="21"/>
  <c r="X19" i="21"/>
  <c r="AA19" i="21" s="1"/>
  <c r="AO19" i="21" s="1"/>
  <c r="W13" i="21"/>
  <c r="W14" i="21"/>
  <c r="W7" i="21"/>
  <c r="AL7" i="21" s="1"/>
  <c r="X18" i="20"/>
  <c r="AA18" i="20" s="1"/>
  <c r="AO18" i="20" s="1"/>
  <c r="X10" i="20"/>
  <c r="AA10" i="20" s="1"/>
  <c r="AO10" i="20" s="1"/>
  <c r="W8" i="20"/>
  <c r="X14" i="20"/>
  <c r="AA14" i="20" s="1"/>
  <c r="AO14" i="20" s="1"/>
  <c r="W15" i="20"/>
  <c r="W9" i="20"/>
  <c r="W13" i="20"/>
  <c r="X16" i="20"/>
  <c r="Z16" i="20"/>
  <c r="X17" i="20"/>
  <c r="AA17" i="20" s="1"/>
  <c r="AO17" i="20" s="1"/>
  <c r="X11" i="20"/>
  <c r="Z11" i="20"/>
  <c r="W16" i="20"/>
  <c r="X8" i="20"/>
  <c r="X7" i="20"/>
  <c r="Z7" i="20"/>
  <c r="Z8" i="20"/>
  <c r="X9" i="20"/>
  <c r="AA9" i="20" s="1"/>
  <c r="AO9" i="20" s="1"/>
  <c r="W7" i="20"/>
  <c r="AL7" i="20" s="1"/>
  <c r="X15" i="20"/>
  <c r="Z15" i="20"/>
  <c r="X19" i="20"/>
  <c r="Z19" i="20"/>
  <c r="X12" i="20"/>
  <c r="X13" i="20"/>
  <c r="AA13" i="20" s="1"/>
  <c r="AO13" i="20" s="1"/>
  <c r="Z12" i="20"/>
  <c r="W19" i="20"/>
  <c r="W12" i="20"/>
  <c r="X10" i="12"/>
  <c r="AO10" i="12" s="1"/>
  <c r="X11" i="12"/>
  <c r="Z11" i="12"/>
  <c r="W11" i="12"/>
  <c r="X16" i="12"/>
  <c r="Z16" i="12"/>
  <c r="W8" i="12"/>
  <c r="AL8" i="12" s="1"/>
  <c r="X12" i="12"/>
  <c r="Z12" i="12"/>
  <c r="W16" i="12"/>
  <c r="X17" i="12"/>
  <c r="Z17" i="12"/>
  <c r="X19" i="12"/>
  <c r="Z19" i="12"/>
  <c r="X14" i="12"/>
  <c r="AO14" i="12" s="1"/>
  <c r="X9" i="12"/>
  <c r="Z9" i="12"/>
  <c r="X18" i="12"/>
  <c r="Z18" i="12"/>
  <c r="AO7" i="12"/>
  <c r="W18" i="12"/>
  <c r="X8" i="12"/>
  <c r="AO8" i="12" s="1"/>
  <c r="X20" i="12"/>
  <c r="Z20" i="12"/>
  <c r="X15" i="12"/>
  <c r="Z15" i="12"/>
  <c r="AN7" i="12"/>
  <c r="X13" i="12"/>
  <c r="Z13" i="12"/>
  <c r="AA26" i="11"/>
  <c r="AO26" i="11" s="1"/>
  <c r="AA25" i="11"/>
  <c r="AO25" i="11" s="1"/>
  <c r="AA21" i="11"/>
  <c r="AO21" i="11" s="1"/>
  <c r="X18" i="11"/>
  <c r="AA18" i="11" s="1"/>
  <c r="AO18" i="11" s="1"/>
  <c r="AA9" i="11"/>
  <c r="AO9" i="11" s="1"/>
  <c r="AA20" i="11"/>
  <c r="AO20" i="11" s="1"/>
  <c r="AA15" i="11"/>
  <c r="AO15" i="11" s="1"/>
  <c r="W8" i="11"/>
  <c r="AL8" i="11" s="1"/>
  <c r="AA19" i="11"/>
  <c r="AO19" i="11" s="1"/>
  <c r="AA17" i="11"/>
  <c r="AO17" i="11" s="1"/>
  <c r="AA10" i="11"/>
  <c r="AO10" i="11" s="1"/>
  <c r="AA14" i="11"/>
  <c r="AO14" i="11" s="1"/>
  <c r="AA11" i="11"/>
  <c r="AO11" i="11" s="1"/>
  <c r="AA23" i="11"/>
  <c r="AO23" i="11" s="1"/>
  <c r="AN7" i="11"/>
  <c r="AA22" i="11"/>
  <c r="AO22" i="11" s="1"/>
  <c r="AA13" i="11"/>
  <c r="AO13" i="11" s="1"/>
  <c r="AA16" i="11"/>
  <c r="AO16" i="11" s="1"/>
  <c r="X19" i="9"/>
  <c r="Z19" i="9"/>
  <c r="X18" i="9"/>
  <c r="Z18" i="9"/>
  <c r="X15" i="9"/>
  <c r="Z15" i="9"/>
  <c r="X12" i="9"/>
  <c r="Z12" i="9"/>
  <c r="X13" i="9"/>
  <c r="Z13" i="9"/>
  <c r="X9" i="9"/>
  <c r="Z9" i="9"/>
  <c r="X14" i="9"/>
  <c r="Z14" i="9"/>
  <c r="X16" i="9"/>
  <c r="Z16" i="9"/>
  <c r="X11" i="9"/>
  <c r="AO11" i="9" s="1"/>
  <c r="Z11" i="9"/>
  <c r="X10" i="9"/>
  <c r="Z10" i="9"/>
  <c r="X8" i="9"/>
  <c r="AO8" i="9" s="1"/>
  <c r="X7" i="9"/>
  <c r="Z7" i="9"/>
  <c r="X17" i="9"/>
  <c r="AO17" i="9" s="1"/>
  <c r="Z17" i="9"/>
  <c r="AL7" i="9"/>
  <c r="X13" i="8"/>
  <c r="X15" i="8"/>
  <c r="X9" i="8"/>
  <c r="W7" i="8"/>
  <c r="AL7" i="8" s="1"/>
  <c r="X11" i="8"/>
  <c r="X16" i="8"/>
  <c r="X12" i="8"/>
  <c r="X17" i="8"/>
  <c r="X14" i="8"/>
  <c r="X18" i="8"/>
  <c r="X8" i="8"/>
  <c r="X7" i="8"/>
  <c r="Z7" i="8"/>
  <c r="X19" i="8"/>
  <c r="AL10" i="41" l="1"/>
  <c r="AN9" i="41"/>
  <c r="AL10" i="40"/>
  <c r="AN9" i="40"/>
  <c r="AL9" i="39"/>
  <c r="AN8" i="39"/>
  <c r="AL10" i="36"/>
  <c r="AN9" i="36"/>
  <c r="AN10" i="38"/>
  <c r="AL11" i="38"/>
  <c r="Y12" i="26"/>
  <c r="AA12" i="26" s="1"/>
  <c r="AO12" i="26" s="1"/>
  <c r="Y14" i="26"/>
  <c r="AA14" i="26" s="1"/>
  <c r="AO14" i="26" s="1"/>
  <c r="Y17" i="26"/>
  <c r="AA17" i="26" s="1"/>
  <c r="AO17" i="26" s="1"/>
  <c r="Y13" i="26"/>
  <c r="AA13" i="26" s="1"/>
  <c r="AO13" i="26" s="1"/>
  <c r="Y20" i="26"/>
  <c r="AA20" i="26" s="1"/>
  <c r="AO20" i="26" s="1"/>
  <c r="Y18" i="26"/>
  <c r="AA18" i="26" s="1"/>
  <c r="AO18" i="26" s="1"/>
  <c r="Y11" i="26"/>
  <c r="AA11" i="26" s="1"/>
  <c r="AO11" i="26" s="1"/>
  <c r="Y16" i="26"/>
  <c r="AA16" i="26" s="1"/>
  <c r="AO16" i="26" s="1"/>
  <c r="Y9" i="26"/>
  <c r="AA9" i="26" s="1"/>
  <c r="AO9" i="26" s="1"/>
  <c r="Y8" i="26"/>
  <c r="AA8" i="26" s="1"/>
  <c r="AO8" i="26" s="1"/>
  <c r="Y19" i="26"/>
  <c r="AA19" i="26" s="1"/>
  <c r="AO19" i="26" s="1"/>
  <c r="Y15" i="26"/>
  <c r="AA15" i="26" s="1"/>
  <c r="AO15" i="26" s="1"/>
  <c r="AN7" i="26"/>
  <c r="AA7" i="26"/>
  <c r="AO7" i="26" s="1"/>
  <c r="AL10" i="25"/>
  <c r="AN9" i="25"/>
  <c r="AA22" i="24"/>
  <c r="AO22" i="24" s="1"/>
  <c r="AL9" i="24"/>
  <c r="AN8" i="24"/>
  <c r="AL9" i="23"/>
  <c r="AN8" i="23"/>
  <c r="AL8" i="22"/>
  <c r="AN7" i="22"/>
  <c r="AA7" i="22"/>
  <c r="AO7" i="22" s="1"/>
  <c r="AA13" i="21"/>
  <c r="AO13" i="21" s="1"/>
  <c r="AA7" i="21"/>
  <c r="AO7" i="21" s="1"/>
  <c r="AA12" i="21"/>
  <c r="AO12" i="21" s="1"/>
  <c r="AA14" i="21"/>
  <c r="AO14" i="21" s="1"/>
  <c r="AA16" i="21"/>
  <c r="AO16" i="21" s="1"/>
  <c r="AA11" i="21"/>
  <c r="AO11" i="21" s="1"/>
  <c r="AA17" i="21"/>
  <c r="AO17" i="21" s="1"/>
  <c r="AL8" i="21"/>
  <c r="AN7" i="21"/>
  <c r="AA16" i="20"/>
  <c r="AO16" i="20" s="1"/>
  <c r="AA11" i="20"/>
  <c r="AO11" i="20" s="1"/>
  <c r="AA7" i="20"/>
  <c r="AO7" i="20" s="1"/>
  <c r="AA12" i="20"/>
  <c r="AO12" i="20" s="1"/>
  <c r="AA19" i="20"/>
  <c r="AO19" i="20" s="1"/>
  <c r="AA8" i="20"/>
  <c r="AO8" i="20" s="1"/>
  <c r="AA15" i="20"/>
  <c r="AO15" i="20" s="1"/>
  <c r="AN7" i="20"/>
  <c r="AL8" i="20"/>
  <c r="AO11" i="12"/>
  <c r="AO16" i="12"/>
  <c r="AO17" i="12"/>
  <c r="AO12" i="12"/>
  <c r="AO13" i="12"/>
  <c r="AO18" i="12"/>
  <c r="AO9" i="12"/>
  <c r="AN8" i="12"/>
  <c r="AL9" i="12"/>
  <c r="AO15" i="12"/>
  <c r="AO19" i="12"/>
  <c r="AO20" i="12"/>
  <c r="AL9" i="11"/>
  <c r="AN8" i="11"/>
  <c r="AO10" i="9"/>
  <c r="AO15" i="9"/>
  <c r="AO14" i="9"/>
  <c r="AO18" i="9"/>
  <c r="AO19" i="9"/>
  <c r="AO12" i="9"/>
  <c r="AO9" i="9"/>
  <c r="AO7" i="9"/>
  <c r="AO16" i="9"/>
  <c r="AO13" i="9"/>
  <c r="AL8" i="9"/>
  <c r="AN7" i="9"/>
  <c r="AL8" i="8"/>
  <c r="AN7" i="8"/>
  <c r="AL11" i="41" l="1"/>
  <c r="AN10" i="41"/>
  <c r="AL11" i="40"/>
  <c r="AN10" i="40"/>
  <c r="AL10" i="39"/>
  <c r="AN9" i="39"/>
  <c r="AL11" i="36"/>
  <c r="AN10" i="36"/>
  <c r="AN11" i="38"/>
  <c r="AL12" i="38"/>
  <c r="AN8" i="26"/>
  <c r="AL11" i="25"/>
  <c r="AN10" i="25"/>
  <c r="AL10" i="24"/>
  <c r="AN9" i="24"/>
  <c r="AL10" i="23"/>
  <c r="AN9" i="23"/>
  <c r="AL9" i="22"/>
  <c r="AN8" i="22"/>
  <c r="AL9" i="21"/>
  <c r="AN8" i="21"/>
  <c r="AN8" i="20"/>
  <c r="AL9" i="20"/>
  <c r="AN9" i="12"/>
  <c r="AL10" i="12"/>
  <c r="AL10" i="11"/>
  <c r="AN9" i="11"/>
  <c r="AL9" i="9"/>
  <c r="AN8" i="9"/>
  <c r="AL9" i="8"/>
  <c r="AN8" i="8"/>
  <c r="AL12" i="41" l="1"/>
  <c r="AN11" i="41"/>
  <c r="AL12" i="40"/>
  <c r="AN11" i="40"/>
  <c r="AL11" i="39"/>
  <c r="AN10" i="39"/>
  <c r="AL12" i="36"/>
  <c r="AN11" i="36"/>
  <c r="AN12" i="38"/>
  <c r="AL13" i="38"/>
  <c r="AN9" i="26"/>
  <c r="AL12" i="25"/>
  <c r="AN11" i="25"/>
  <c r="AL11" i="24"/>
  <c r="AN10" i="24"/>
  <c r="AL11" i="23"/>
  <c r="AN10" i="23"/>
  <c r="AL10" i="22"/>
  <c r="AN9" i="22"/>
  <c r="AL10" i="21"/>
  <c r="AN9" i="21"/>
  <c r="AN9" i="20"/>
  <c r="AL10" i="20"/>
  <c r="AN10" i="12"/>
  <c r="AL11" i="12"/>
  <c r="AL11" i="11"/>
  <c r="AN10" i="11"/>
  <c r="AL10" i="9"/>
  <c r="AN9" i="9"/>
  <c r="AL10" i="8"/>
  <c r="AN9" i="8"/>
  <c r="AL13" i="41" l="1"/>
  <c r="AN12" i="41"/>
  <c r="AL13" i="40"/>
  <c r="AN12" i="40"/>
  <c r="AL12" i="39"/>
  <c r="AN11" i="39"/>
  <c r="AL13" i="36"/>
  <c r="AN12" i="36"/>
  <c r="AN13" i="38"/>
  <c r="AN10" i="26"/>
  <c r="AL13" i="25"/>
  <c r="AN12" i="25"/>
  <c r="AL12" i="24"/>
  <c r="AN11" i="24"/>
  <c r="AL12" i="23"/>
  <c r="AN11" i="23"/>
  <c r="AL11" i="22"/>
  <c r="AN10" i="22"/>
  <c r="AL11" i="21"/>
  <c r="AN10" i="21"/>
  <c r="AN10" i="20"/>
  <c r="AL11" i="20"/>
  <c r="AN11" i="12"/>
  <c r="AL12" i="12"/>
  <c r="AL12" i="11"/>
  <c r="AN11" i="11"/>
  <c r="AL11" i="9"/>
  <c r="AN10" i="9"/>
  <c r="AL11" i="8"/>
  <c r="AN10" i="8"/>
  <c r="AL14" i="41" l="1"/>
  <c r="AN13" i="41"/>
  <c r="AL14" i="40"/>
  <c r="AN13" i="40"/>
  <c r="AL13" i="39"/>
  <c r="AN12" i="39"/>
  <c r="AL14" i="36"/>
  <c r="AN13" i="36"/>
  <c r="AN11" i="26"/>
  <c r="AL14" i="25"/>
  <c r="AN13" i="25"/>
  <c r="AL13" i="24"/>
  <c r="AN12" i="24"/>
  <c r="AL13" i="23"/>
  <c r="AN12" i="23"/>
  <c r="AL12" i="22"/>
  <c r="AN11" i="22"/>
  <c r="AL12" i="21"/>
  <c r="AN11" i="21"/>
  <c r="AL12" i="20"/>
  <c r="AN11" i="20"/>
  <c r="AN12" i="12"/>
  <c r="AL13" i="12"/>
  <c r="AL13" i="11"/>
  <c r="AN12" i="11"/>
  <c r="AL12" i="9"/>
  <c r="AN11" i="9"/>
  <c r="AL12" i="8"/>
  <c r="AN11" i="8"/>
  <c r="AL15" i="41" l="1"/>
  <c r="AN14" i="41"/>
  <c r="AL15" i="40"/>
  <c r="AN14" i="40"/>
  <c r="AL14" i="39"/>
  <c r="AN13" i="39"/>
  <c r="AL15" i="36"/>
  <c r="AN14" i="36"/>
  <c r="AN12" i="26"/>
  <c r="AL15" i="25"/>
  <c r="AN14" i="25"/>
  <c r="AL14" i="24"/>
  <c r="AN13" i="24"/>
  <c r="AL14" i="23"/>
  <c r="AN13" i="23"/>
  <c r="AL13" i="22"/>
  <c r="AN12" i="22"/>
  <c r="AL13" i="21"/>
  <c r="AN12" i="21"/>
  <c r="AN12" i="20"/>
  <c r="AL13" i="20"/>
  <c r="AN13" i="12"/>
  <c r="AL14" i="12"/>
  <c r="AL14" i="11"/>
  <c r="AN13" i="11"/>
  <c r="AL13" i="9"/>
  <c r="AN12" i="9"/>
  <c r="AL13" i="8"/>
  <c r="AN12" i="8"/>
  <c r="AL16" i="41" l="1"/>
  <c r="AN15" i="41"/>
  <c r="AL16" i="40"/>
  <c r="AN15" i="40"/>
  <c r="AL15" i="39"/>
  <c r="AN14" i="39"/>
  <c r="AL16" i="36"/>
  <c r="AN15" i="36"/>
  <c r="AN13" i="26"/>
  <c r="AL16" i="25"/>
  <c r="AN15" i="25"/>
  <c r="AL15" i="24"/>
  <c r="AN14" i="24"/>
  <c r="AL15" i="23"/>
  <c r="AN14" i="23"/>
  <c r="AL14" i="22"/>
  <c r="AN13" i="22"/>
  <c r="AL14" i="21"/>
  <c r="AN13" i="21"/>
  <c r="AN13" i="20"/>
  <c r="AL14" i="20"/>
  <c r="AN14" i="12"/>
  <c r="AL15" i="12"/>
  <c r="AL15" i="11"/>
  <c r="AN14" i="11"/>
  <c r="AL14" i="9"/>
  <c r="AN13" i="9"/>
  <c r="AL14" i="8"/>
  <c r="AN13" i="8"/>
  <c r="AL17" i="41" l="1"/>
  <c r="AN16" i="41"/>
  <c r="AL17" i="40"/>
  <c r="AN16" i="40"/>
  <c r="AL16" i="39"/>
  <c r="AN15" i="39"/>
  <c r="AL17" i="36"/>
  <c r="AN16" i="36"/>
  <c r="AN14" i="26"/>
  <c r="AL17" i="25"/>
  <c r="AN16" i="25"/>
  <c r="AL16" i="24"/>
  <c r="AN15" i="24"/>
  <c r="AL16" i="23"/>
  <c r="AN15" i="23"/>
  <c r="AL15" i="22"/>
  <c r="AN14" i="22"/>
  <c r="AL15" i="21"/>
  <c r="AN14" i="21"/>
  <c r="AN14" i="20"/>
  <c r="AL15" i="20"/>
  <c r="AN15" i="12"/>
  <c r="AL16" i="12"/>
  <c r="AL16" i="11"/>
  <c r="AN15" i="11"/>
  <c r="AL15" i="9"/>
  <c r="AN14" i="9"/>
  <c r="AL15" i="8"/>
  <c r="AN14" i="8"/>
  <c r="AL18" i="41" l="1"/>
  <c r="AN18" i="41" s="1"/>
  <c r="AN17" i="41"/>
  <c r="AL18" i="40"/>
  <c r="AN17" i="40"/>
  <c r="AL17" i="39"/>
  <c r="AN16" i="39"/>
  <c r="AL18" i="36"/>
  <c r="AN17" i="36"/>
  <c r="AN15" i="26"/>
  <c r="AL18" i="25"/>
  <c r="AN17" i="25"/>
  <c r="AL17" i="24"/>
  <c r="AN16" i="24"/>
  <c r="AL17" i="23"/>
  <c r="AN16" i="23"/>
  <c r="AL16" i="22"/>
  <c r="AN15" i="22"/>
  <c r="AL16" i="21"/>
  <c r="AN15" i="21"/>
  <c r="AN15" i="20"/>
  <c r="AL16" i="20"/>
  <c r="AN16" i="12"/>
  <c r="AL17" i="12"/>
  <c r="AL17" i="11"/>
  <c r="AN16" i="11"/>
  <c r="AL16" i="9"/>
  <c r="AN15" i="9"/>
  <c r="AL16" i="8"/>
  <c r="AN15" i="8"/>
  <c r="AL19" i="40" l="1"/>
  <c r="AN19" i="40" s="1"/>
  <c r="AN18" i="40"/>
  <c r="AL18" i="39"/>
  <c r="AN18" i="39" s="1"/>
  <c r="AN17" i="39"/>
  <c r="AN18" i="36"/>
  <c r="AN16" i="26"/>
  <c r="AL19" i="25"/>
  <c r="AN18" i="25"/>
  <c r="AL18" i="24"/>
  <c r="AN17" i="24"/>
  <c r="AL18" i="23"/>
  <c r="AN17" i="23"/>
  <c r="AL17" i="22"/>
  <c r="AN16" i="22"/>
  <c r="AL17" i="21"/>
  <c r="AN16" i="21"/>
  <c r="AN16" i="20"/>
  <c r="AL17" i="20"/>
  <c r="AN17" i="12"/>
  <c r="AL18" i="12"/>
  <c r="AL18" i="11"/>
  <c r="AN17" i="11"/>
  <c r="AL17" i="9"/>
  <c r="AN16" i="9"/>
  <c r="AL17" i="8"/>
  <c r="AN16" i="8"/>
  <c r="AN17" i="26" l="1"/>
  <c r="AL20" i="25"/>
  <c r="AN20" i="25" s="1"/>
  <c r="AN19" i="25"/>
  <c r="AL19" i="24"/>
  <c r="AN18" i="24"/>
  <c r="AL19" i="23"/>
  <c r="AN18" i="23"/>
  <c r="AL18" i="22"/>
  <c r="AN17" i="22"/>
  <c r="AL18" i="21"/>
  <c r="AN17" i="21"/>
  <c r="AN17" i="20"/>
  <c r="AL18" i="20"/>
  <c r="AN18" i="12"/>
  <c r="AL19" i="12"/>
  <c r="AL19" i="11"/>
  <c r="AN18" i="11"/>
  <c r="AL18" i="9"/>
  <c r="AN17" i="9"/>
  <c r="AL18" i="8"/>
  <c r="AN17" i="8"/>
  <c r="AN18" i="26" l="1"/>
  <c r="AL20" i="24"/>
  <c r="AN19" i="24"/>
  <c r="AL20" i="23"/>
  <c r="AN19" i="23"/>
  <c r="AL19" i="22"/>
  <c r="AN18" i="22"/>
  <c r="AL19" i="21"/>
  <c r="AN18" i="21"/>
  <c r="AN18" i="20"/>
  <c r="AL19" i="20"/>
  <c r="AN19" i="12"/>
  <c r="AL20" i="12"/>
  <c r="AL20" i="11"/>
  <c r="AN19" i="11"/>
  <c r="AL19" i="9"/>
  <c r="AN19" i="9" s="1"/>
  <c r="AN18" i="9"/>
  <c r="AL19" i="8"/>
  <c r="AN18" i="8"/>
  <c r="AN20" i="26" l="1"/>
  <c r="AN19" i="26"/>
  <c r="AN20" i="24"/>
  <c r="AL21" i="24"/>
  <c r="AN20" i="23"/>
  <c r="AL20" i="22"/>
  <c r="AN19" i="22"/>
  <c r="AN19" i="21"/>
  <c r="AL20" i="21"/>
  <c r="AN20" i="21" s="1"/>
  <c r="AN19" i="20"/>
  <c r="AN20" i="12"/>
  <c r="AL21" i="11"/>
  <c r="AN20" i="11"/>
  <c r="AN19" i="8"/>
  <c r="AL22" i="24" l="1"/>
  <c r="AN21" i="24"/>
  <c r="AN20" i="22"/>
  <c r="AL21" i="22"/>
  <c r="AN21" i="22" s="1"/>
  <c r="AL22" i="11"/>
  <c r="AN21" i="11"/>
  <c r="AL23" i="24" l="1"/>
  <c r="AN22" i="24"/>
  <c r="AL23" i="11"/>
  <c r="AN22" i="11"/>
  <c r="AL24" i="24" l="1"/>
  <c r="AN23" i="24"/>
  <c r="AL24" i="11"/>
  <c r="AN23" i="11"/>
  <c r="W8" i="6"/>
  <c r="AL8" i="6" s="1"/>
  <c r="W13" i="6"/>
  <c r="W14" i="6"/>
  <c r="W15" i="6"/>
  <c r="W16" i="6"/>
  <c r="AO7" i="6"/>
  <c r="AM18" i="6"/>
  <c r="AM19" i="6"/>
  <c r="AL7" i="6"/>
  <c r="AK7" i="6"/>
  <c r="AM7" i="6" s="1"/>
  <c r="AK8" i="6"/>
  <c r="AM8" i="6" s="1"/>
  <c r="AK9" i="6"/>
  <c r="AM9" i="6" s="1"/>
  <c r="AK10" i="6"/>
  <c r="AM10" i="6" s="1"/>
  <c r="AK11" i="6"/>
  <c r="AM11" i="6" s="1"/>
  <c r="AK12" i="6"/>
  <c r="AM12" i="6" s="1"/>
  <c r="AK13" i="6"/>
  <c r="AM13" i="6" s="1"/>
  <c r="AK14" i="6"/>
  <c r="AM14" i="6" s="1"/>
  <c r="AK15" i="6"/>
  <c r="AM15" i="6" s="1"/>
  <c r="AK16" i="6"/>
  <c r="AM16" i="6" s="1"/>
  <c r="AK17" i="6"/>
  <c r="AM17" i="6" s="1"/>
  <c r="AK18" i="6"/>
  <c r="AK19" i="6"/>
  <c r="AK20" i="6"/>
  <c r="AM20" i="6" s="1"/>
  <c r="V8" i="1"/>
  <c r="V9" i="1"/>
  <c r="V10" i="1"/>
  <c r="Z10" i="1" s="1"/>
  <c r="V11" i="1"/>
  <c r="Z11" i="1" s="1"/>
  <c r="V12" i="1"/>
  <c r="Z12" i="1" s="1"/>
  <c r="V13" i="1"/>
  <c r="X13" i="1" s="1"/>
  <c r="Y13" i="1" s="1"/>
  <c r="V14" i="1"/>
  <c r="Z14" i="1" s="1"/>
  <c r="V15" i="1"/>
  <c r="Z15" i="1" s="1"/>
  <c r="V16" i="1"/>
  <c r="V17" i="1"/>
  <c r="V18" i="1"/>
  <c r="V19" i="1"/>
  <c r="V7" i="1"/>
  <c r="Z8" i="1"/>
  <c r="Z16" i="1"/>
  <c r="Z18" i="1"/>
  <c r="Z19" i="1"/>
  <c r="X8" i="1"/>
  <c r="Y8" i="1" s="1"/>
  <c r="V8" i="6"/>
  <c r="X8" i="6" s="1"/>
  <c r="Y8" i="6" s="1"/>
  <c r="V9" i="6"/>
  <c r="W9" i="6" s="1"/>
  <c r="V10" i="6"/>
  <c r="W10" i="6" s="1"/>
  <c r="V11" i="6"/>
  <c r="V12" i="6"/>
  <c r="V13" i="6"/>
  <c r="V14" i="6"/>
  <c r="X14" i="6" s="1"/>
  <c r="Y14" i="6" s="1"/>
  <c r="V15" i="6"/>
  <c r="X15" i="6" s="1"/>
  <c r="Y15" i="6" s="1"/>
  <c r="V16" i="6"/>
  <c r="X16" i="6" s="1"/>
  <c r="Y16" i="6" s="1"/>
  <c r="V17" i="6"/>
  <c r="W17" i="6" s="1"/>
  <c r="V18" i="6"/>
  <c r="W18" i="6" s="1"/>
  <c r="V19" i="6"/>
  <c r="V20" i="6"/>
  <c r="V7" i="6"/>
  <c r="AH20" i="6"/>
  <c r="S20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6" i="6"/>
  <c r="AL25" i="24" l="1"/>
  <c r="AN24" i="24"/>
  <c r="AL25" i="11"/>
  <c r="AN24" i="11"/>
  <c r="X12" i="6"/>
  <c r="Y12" i="6" s="1"/>
  <c r="X13" i="6"/>
  <c r="Y13" i="6" s="1"/>
  <c r="X20" i="6"/>
  <c r="Y20" i="6" s="1"/>
  <c r="X19" i="6"/>
  <c r="Y19" i="6" s="1"/>
  <c r="X18" i="6"/>
  <c r="Y18" i="6" s="1"/>
  <c r="X10" i="6"/>
  <c r="Y10" i="6" s="1"/>
  <c r="W20" i="6"/>
  <c r="W12" i="6"/>
  <c r="X17" i="6"/>
  <c r="Y17" i="6" s="1"/>
  <c r="X9" i="6"/>
  <c r="Y9" i="6" s="1"/>
  <c r="AL9" i="6"/>
  <c r="AL10" i="6" s="1"/>
  <c r="X11" i="6"/>
  <c r="Y11" i="6" s="1"/>
  <c r="W19" i="6"/>
  <c r="W11" i="6"/>
  <c r="X14" i="1"/>
  <c r="Y14" i="1" s="1"/>
  <c r="X12" i="1"/>
  <c r="Y12" i="1" s="1"/>
  <c r="Z13" i="1"/>
  <c r="X16" i="1"/>
  <c r="Y16" i="1" s="1"/>
  <c r="X19" i="1"/>
  <c r="Y19" i="1" s="1"/>
  <c r="X10" i="1"/>
  <c r="Y10" i="1" s="1"/>
  <c r="X17" i="1"/>
  <c r="Y17" i="1" s="1"/>
  <c r="X11" i="1"/>
  <c r="Y11" i="1" s="1"/>
  <c r="X9" i="1"/>
  <c r="Y9" i="1" s="1"/>
  <c r="Z17" i="1"/>
  <c r="Z9" i="1"/>
  <c r="X15" i="1"/>
  <c r="Y15" i="1" s="1"/>
  <c r="X18" i="1"/>
  <c r="Y18" i="1" s="1"/>
  <c r="AP20" i="6"/>
  <c r="AL26" i="24" l="1"/>
  <c r="AN25" i="24"/>
  <c r="AL26" i="11"/>
  <c r="AN25" i="11"/>
  <c r="AL11" i="6"/>
  <c r="AL12" i="6" s="1"/>
  <c r="AL13" i="6" s="1"/>
  <c r="AL14" i="6" s="1"/>
  <c r="AL15" i="6" s="1"/>
  <c r="AL16" i="6" s="1"/>
  <c r="AL17" i="6" s="1"/>
  <c r="AL18" i="6" s="1"/>
  <c r="AL19" i="6" s="1"/>
  <c r="AL20" i="6" s="1"/>
  <c r="AO20" i="6"/>
  <c r="AL27" i="24" l="1"/>
  <c r="AN26" i="24"/>
  <c r="AN26" i="11"/>
  <c r="X27" i="6"/>
  <c r="AH19" i="6"/>
  <c r="AP19" i="6" s="1"/>
  <c r="AH18" i="6"/>
  <c r="AH17" i="6"/>
  <c r="AP17" i="6" s="1"/>
  <c r="AH16" i="6"/>
  <c r="AH15" i="6"/>
  <c r="AP15" i="6" s="1"/>
  <c r="AH14" i="6"/>
  <c r="AH13" i="6"/>
  <c r="AP13" i="6" s="1"/>
  <c r="AH12" i="6"/>
  <c r="AP12" i="6" s="1"/>
  <c r="AH11" i="6"/>
  <c r="AH10" i="6"/>
  <c r="AH9" i="6"/>
  <c r="AP9" i="6" s="1"/>
  <c r="AH8" i="6"/>
  <c r="AP8" i="6" s="1"/>
  <c r="AH7" i="6"/>
  <c r="AK6" i="6"/>
  <c r="AN6" i="6" s="1"/>
  <c r="U7" i="6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K12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X29" i="1"/>
  <c r="X27" i="1"/>
  <c r="X26" i="1"/>
  <c r="X25" i="1"/>
  <c r="AO6" i="1"/>
  <c r="AL28" i="24" l="1"/>
  <c r="AN27" i="24"/>
  <c r="AP18" i="6"/>
  <c r="AP16" i="6"/>
  <c r="AP14" i="6"/>
  <c r="AP11" i="6"/>
  <c r="AP10" i="6"/>
  <c r="AP7" i="6"/>
  <c r="AM6" i="6"/>
  <c r="AP6" i="6" s="1"/>
  <c r="AA6" i="6"/>
  <c r="AO6" i="6" s="1"/>
  <c r="X28" i="6"/>
  <c r="X30" i="6" s="1"/>
  <c r="AK19" i="1"/>
  <c r="AK11" i="1"/>
  <c r="AK8" i="1"/>
  <c r="AK7" i="1"/>
  <c r="AM7" i="1" s="1"/>
  <c r="AK16" i="1"/>
  <c r="AK6" i="1"/>
  <c r="AK15" i="1"/>
  <c r="AK13" i="1"/>
  <c r="AK17" i="1"/>
  <c r="AK10" i="1"/>
  <c r="AK14" i="1"/>
  <c r="AK18" i="1"/>
  <c r="AK9" i="1"/>
  <c r="AM6" i="1"/>
  <c r="AL29" i="24" l="1"/>
  <c r="AN29" i="24" s="1"/>
  <c r="AN28" i="24"/>
  <c r="AO14" i="6"/>
  <c r="AO15" i="6"/>
  <c r="AO9" i="6"/>
  <c r="AO10" i="6"/>
  <c r="AO12" i="6"/>
  <c r="AO18" i="6"/>
  <c r="X7" i="6"/>
  <c r="Y7" i="6" s="1"/>
  <c r="AO8" i="6"/>
  <c r="AO19" i="6"/>
  <c r="W7" i="6"/>
  <c r="AO16" i="6"/>
  <c r="AO11" i="6"/>
  <c r="AO17" i="6"/>
  <c r="AO13" i="6"/>
  <c r="AM15" i="1"/>
  <c r="AP15" i="1" s="1"/>
  <c r="AM13" i="1"/>
  <c r="AP13" i="1" s="1"/>
  <c r="AM9" i="1"/>
  <c r="AP9" i="1" s="1"/>
  <c r="AM17" i="1"/>
  <c r="AP17" i="1" s="1"/>
  <c r="AM8" i="1"/>
  <c r="AP8" i="1" s="1"/>
  <c r="AP6" i="1"/>
  <c r="AN6" i="1"/>
  <c r="AP7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AN7" i="6" l="1"/>
  <c r="AM10" i="1"/>
  <c r="AP10" i="1" s="1"/>
  <c r="AM16" i="1"/>
  <c r="AP16" i="1" s="1"/>
  <c r="AM18" i="1"/>
  <c r="AP18" i="1" s="1"/>
  <c r="AM14" i="1"/>
  <c r="AP14" i="1" s="1"/>
  <c r="AM19" i="1"/>
  <c r="AP19" i="1" s="1"/>
  <c r="AM11" i="1"/>
  <c r="AP11" i="1" s="1"/>
  <c r="AM12" i="1"/>
  <c r="AP12" i="1" s="1"/>
  <c r="U16" i="1"/>
  <c r="U12" i="1"/>
  <c r="W16" i="1"/>
  <c r="U18" i="1"/>
  <c r="U10" i="1"/>
  <c r="U14" i="1"/>
  <c r="Z6" i="1"/>
  <c r="AA6" i="1" s="1"/>
  <c r="U9" i="1"/>
  <c r="U13" i="1"/>
  <c r="U17" i="1"/>
  <c r="U8" i="1"/>
  <c r="U7" i="1"/>
  <c r="U11" i="1"/>
  <c r="U15" i="1"/>
  <c r="U19" i="1"/>
  <c r="AN8" i="6" l="1"/>
  <c r="W17" i="1"/>
  <c r="W18" i="1"/>
  <c r="W14" i="1"/>
  <c r="W9" i="1"/>
  <c r="W19" i="1"/>
  <c r="W8" i="1"/>
  <c r="W12" i="1"/>
  <c r="AN9" i="6" l="1"/>
  <c r="W15" i="1"/>
  <c r="AA12" i="1"/>
  <c r="AO12" i="1" s="1"/>
  <c r="AA10" i="1"/>
  <c r="AO10" i="1" s="1"/>
  <c r="X7" i="1"/>
  <c r="Y7" i="1" s="1"/>
  <c r="AA7" i="1" s="1"/>
  <c r="AO7" i="1" s="1"/>
  <c r="AA8" i="1"/>
  <c r="AO8" i="1" s="1"/>
  <c r="Z7" i="1"/>
  <c r="W10" i="1"/>
  <c r="AA19" i="1"/>
  <c r="AO19" i="1" s="1"/>
  <c r="AA14" i="1"/>
  <c r="AO14" i="1" s="1"/>
  <c r="W7" i="1"/>
  <c r="AA9" i="1"/>
  <c r="AO9" i="1" s="1"/>
  <c r="AA18" i="1"/>
  <c r="AO18" i="1" s="1"/>
  <c r="AA11" i="1"/>
  <c r="AO11" i="1" s="1"/>
  <c r="AA13" i="1"/>
  <c r="AO13" i="1" s="1"/>
  <c r="AA16" i="1"/>
  <c r="AO16" i="1" s="1"/>
  <c r="W11" i="1"/>
  <c r="AA15" i="1"/>
  <c r="AO15" i="1" s="1"/>
  <c r="W13" i="1"/>
  <c r="AA17" i="1"/>
  <c r="AO17" i="1" s="1"/>
  <c r="AN10" i="6" l="1"/>
  <c r="AL7" i="1"/>
  <c r="AN11" i="6" l="1"/>
  <c r="AL8" i="1"/>
  <c r="AN7" i="1"/>
  <c r="AN12" i="6" l="1"/>
  <c r="AL9" i="1"/>
  <c r="AN8" i="1"/>
  <c r="AN13" i="6" l="1"/>
  <c r="AL10" i="1"/>
  <c r="AN9" i="1"/>
  <c r="AN14" i="6" l="1"/>
  <c r="AL11" i="1"/>
  <c r="AN10" i="1"/>
  <c r="AN15" i="6" l="1"/>
  <c r="AL12" i="1"/>
  <c r="AN11" i="1"/>
  <c r="AN16" i="6" l="1"/>
  <c r="AL13" i="1"/>
  <c r="AN12" i="1"/>
  <c r="AN17" i="6" l="1"/>
  <c r="AL14" i="1"/>
  <c r="AN13" i="1"/>
  <c r="AN18" i="6" l="1"/>
  <c r="AL15" i="1"/>
  <c r="AN14" i="1"/>
  <c r="AN19" i="6" l="1"/>
  <c r="AN20" i="6"/>
  <c r="AL16" i="1"/>
  <c r="AN15" i="1"/>
  <c r="AL17" i="1" l="1"/>
  <c r="AN16" i="1"/>
  <c r="AL18" i="1" l="1"/>
  <c r="AN17" i="1"/>
  <c r="AL19" i="1" l="1"/>
  <c r="AN19" i="1" s="1"/>
  <c r="AN18" i="1"/>
</calcChain>
</file>

<file path=xl/sharedStrings.xml><?xml version="1.0" encoding="utf-8"?>
<sst xmlns="http://schemas.openxmlformats.org/spreadsheetml/2006/main" count="1783" uniqueCount="398">
  <si>
    <r>
      <t>CO</t>
    </r>
    <r>
      <rPr>
        <b/>
        <sz val="8"/>
        <color theme="1"/>
        <rFont val="Calibri"/>
        <family val="2"/>
        <charset val="238"/>
        <scheme val="minor"/>
      </rPr>
      <t>2</t>
    </r>
  </si>
  <si>
    <r>
      <t>NH</t>
    </r>
    <r>
      <rPr>
        <b/>
        <sz val="8"/>
        <color theme="1"/>
        <rFont val="Calibri"/>
        <family val="2"/>
        <charset val="238"/>
        <scheme val="minor"/>
      </rPr>
      <t>3</t>
    </r>
  </si>
  <si>
    <t>CO</t>
  </si>
  <si>
    <r>
      <t>O</t>
    </r>
    <r>
      <rPr>
        <b/>
        <sz val="8"/>
        <color theme="1"/>
        <rFont val="Calibri"/>
        <family val="2"/>
        <charset val="238"/>
        <scheme val="minor"/>
      </rPr>
      <t>2</t>
    </r>
  </si>
  <si>
    <r>
      <t>CH</t>
    </r>
    <r>
      <rPr>
        <b/>
        <sz val="8"/>
        <color theme="1"/>
        <rFont val="Calibri"/>
        <family val="2"/>
        <charset val="238"/>
        <scheme val="minor"/>
      </rPr>
      <t>4</t>
    </r>
  </si>
  <si>
    <t>H2S</t>
  </si>
  <si>
    <t>%</t>
  </si>
  <si>
    <t>ppm</t>
  </si>
  <si>
    <t>06.05.2022.</t>
  </si>
  <si>
    <t>07.05.2022.</t>
  </si>
  <si>
    <t>08.05.2022.</t>
  </si>
  <si>
    <t>09.05.2022.</t>
  </si>
  <si>
    <t>10.05.2022.</t>
  </si>
  <si>
    <t>11.05.2022.</t>
  </si>
  <si>
    <t>12.05.2022.</t>
  </si>
  <si>
    <t>13.05.2022.</t>
  </si>
  <si>
    <t>14.05.2022.</t>
  </si>
  <si>
    <t>15.05.2022.</t>
  </si>
  <si>
    <t>16.05.2022.</t>
  </si>
  <si>
    <t>17.05.2022.</t>
  </si>
  <si>
    <t>18.05.2022.</t>
  </si>
  <si>
    <t>19.05.2022.</t>
  </si>
  <si>
    <t>09.06.2022.</t>
  </si>
  <si>
    <t>10.06.2022.</t>
  </si>
  <si>
    <t>11.06.2022.</t>
  </si>
  <si>
    <t>12.06.2022.</t>
  </si>
  <si>
    <t>13.06.2022.</t>
  </si>
  <si>
    <t>14.06.2022.</t>
  </si>
  <si>
    <t>15.06.2022.</t>
  </si>
  <si>
    <t>16.06.2022.</t>
  </si>
  <si>
    <t>17.06.2022.</t>
  </si>
  <si>
    <t>18.06.2022.</t>
  </si>
  <si>
    <t>19.06.2022.</t>
  </si>
  <si>
    <t>20.06.2022.</t>
  </si>
  <si>
    <t>21.06.2022.</t>
  </si>
  <si>
    <t>22.06.2022.</t>
  </si>
  <si>
    <t>23.06.2022.</t>
  </si>
  <si>
    <t>07.07.2022.</t>
  </si>
  <si>
    <t>08.07.2022.</t>
  </si>
  <si>
    <t>09.07.2022.</t>
  </si>
  <si>
    <t>10.07.2022.</t>
  </si>
  <si>
    <t>11.07.2022.</t>
  </si>
  <si>
    <t>12.07.2022.</t>
  </si>
  <si>
    <t>13.07.2022.</t>
  </si>
  <si>
    <t>14.07.2022.</t>
  </si>
  <si>
    <t>15.07.2022.</t>
  </si>
  <si>
    <t>16.07.2022.</t>
  </si>
  <si>
    <t>17.07.2022.</t>
  </si>
  <si>
    <t>18.07.2022.</t>
  </si>
  <si>
    <t>19.07.2022.</t>
  </si>
  <si>
    <t>20.07.2022.</t>
  </si>
  <si>
    <t>07.09.2022.</t>
  </si>
  <si>
    <t>08.09.2022.</t>
  </si>
  <si>
    <t>09.09.2022.</t>
  </si>
  <si>
    <t>10.09.2022.</t>
  </si>
  <si>
    <t>11.09.2022.</t>
  </si>
  <si>
    <t>12.09.2022.</t>
  </si>
  <si>
    <t>13.09.2022.</t>
  </si>
  <si>
    <t>14.09.2022.</t>
  </si>
  <si>
    <t>15.09.2022.</t>
  </si>
  <si>
    <t>16.09.2022.</t>
  </si>
  <si>
    <t>17.09.2022.</t>
  </si>
  <si>
    <t>18.09.2022.</t>
  </si>
  <si>
    <t>19.09.2022.</t>
  </si>
  <si>
    <t>20.09.2022.</t>
  </si>
  <si>
    <t>21.09.2022.</t>
  </si>
  <si>
    <t>22.09.2022.</t>
  </si>
  <si>
    <t>23.09.2022.</t>
  </si>
  <si>
    <t>24.09.2022.</t>
  </si>
  <si>
    <t>25.09.2022.</t>
  </si>
  <si>
    <t>26.09.2022.</t>
  </si>
  <si>
    <t>27.09.2022.</t>
  </si>
  <si>
    <t>28.09.2022.</t>
  </si>
  <si>
    <t>11.10.2022.</t>
  </si>
  <si>
    <t>12.10.2022.</t>
  </si>
  <si>
    <t>13.10.2022.</t>
  </si>
  <si>
    <t>14.10.2022.</t>
  </si>
  <si>
    <t>15.10.2022.</t>
  </si>
  <si>
    <t>16.10.2022.</t>
  </si>
  <si>
    <t>17.10.2022.</t>
  </si>
  <si>
    <t>18.10.2022.</t>
  </si>
  <si>
    <t>19.10.2022.</t>
  </si>
  <si>
    <t>20.10.2022.</t>
  </si>
  <si>
    <t>21.10.2022.</t>
  </si>
  <si>
    <t>22.10.2022.</t>
  </si>
  <si>
    <t>23.10.2022.</t>
  </si>
  <si>
    <t>24.10.2022.</t>
  </si>
  <si>
    <t>25.10.2022.</t>
  </si>
  <si>
    <t>26.10.2022.</t>
  </si>
  <si>
    <t>27.10.2022.</t>
  </si>
  <si>
    <t>28.10.2022.</t>
  </si>
  <si>
    <t>29.10.2022.</t>
  </si>
  <si>
    <t>30.10.2022.</t>
  </si>
  <si>
    <t>31.10.2022.</t>
  </si>
  <si>
    <t>11.11.2022.</t>
  </si>
  <si>
    <t>12.11.2022.</t>
  </si>
  <si>
    <t>13.11.2022.</t>
  </si>
  <si>
    <t>14.11.2022.</t>
  </si>
  <si>
    <t>15.11.2022.</t>
  </si>
  <si>
    <t>16.11.2022.</t>
  </si>
  <si>
    <t>17.11.2022.</t>
  </si>
  <si>
    <t>18.11.2022.</t>
  </si>
  <si>
    <t>19.11.2022.</t>
  </si>
  <si>
    <t>20.11.2022.</t>
  </si>
  <si>
    <t>21.11.2022.</t>
  </si>
  <si>
    <t>22.11.2022.</t>
  </si>
  <si>
    <t>23.11.2022.</t>
  </si>
  <si>
    <t>24.11.2022.</t>
  </si>
  <si>
    <t>25.11.2022.</t>
  </si>
  <si>
    <t>01.02.2023.</t>
  </si>
  <si>
    <t>02.02.2023.</t>
  </si>
  <si>
    <t>03.02.2023.</t>
  </si>
  <si>
    <t>04.02.2023.</t>
  </si>
  <si>
    <t>05.02.2023.</t>
  </si>
  <si>
    <t>06.02.2023.</t>
  </si>
  <si>
    <t>07.02.2023.</t>
  </si>
  <si>
    <t>08.02.2023.</t>
  </si>
  <si>
    <t>09.02.2023.</t>
  </si>
  <si>
    <t>¸2</t>
  </si>
  <si>
    <t>10.02.2023.</t>
  </si>
  <si>
    <t>11.02.2023.</t>
  </si>
  <si>
    <t>12.02.2023.</t>
  </si>
  <si>
    <t>13.02.2023.</t>
  </si>
  <si>
    <t>14.02.2023.</t>
  </si>
  <si>
    <t>16.02.2023.</t>
  </si>
  <si>
    <t>17.02.2023.</t>
  </si>
  <si>
    <t>18.02.2023.</t>
  </si>
  <si>
    <t>19.02.2023.</t>
  </si>
  <si>
    <t>20.02.2023.</t>
  </si>
  <si>
    <t>21.02.2023.</t>
  </si>
  <si>
    <t>22.02.2023.</t>
  </si>
  <si>
    <t>23.02.2023.</t>
  </si>
  <si>
    <t>24.02.2023.</t>
  </si>
  <si>
    <t>25.02.2023.</t>
  </si>
  <si>
    <t>26.02.2023.</t>
  </si>
  <si>
    <t>27.02.2023.</t>
  </si>
  <si>
    <t>28.02.2023.</t>
  </si>
  <si>
    <t>01.03.2023.</t>
  </si>
  <si>
    <t>02.03.2023.</t>
  </si>
  <si>
    <t>15.03.2023.</t>
  </si>
  <si>
    <t>16.03.2023.</t>
  </si>
  <si>
    <t>17.03.2023.</t>
  </si>
  <si>
    <t>18.03.2023.</t>
  </si>
  <si>
    <t>19.03.2023.</t>
  </si>
  <si>
    <t>20.03.2023.</t>
  </si>
  <si>
    <t>21.03.2023.</t>
  </si>
  <si>
    <t>22.03.2023.</t>
  </si>
  <si>
    <t>23.03.2023.</t>
  </si>
  <si>
    <t>24.03.2023.</t>
  </si>
  <si>
    <t>25.03.2023.</t>
  </si>
  <si>
    <t>26.03.2023.</t>
  </si>
  <si>
    <t>27.03.2023.</t>
  </si>
  <si>
    <t>28.03.2023.</t>
  </si>
  <si>
    <t>29.03.2023.</t>
  </si>
  <si>
    <t>30.03.2023.</t>
  </si>
  <si>
    <t>14.04.2023.</t>
  </si>
  <si>
    <t>15.04.2023.</t>
  </si>
  <si>
    <t>16.04.2023.</t>
  </si>
  <si>
    <t>17.04.2023.</t>
  </si>
  <si>
    <t>18.04.2023.</t>
  </si>
  <si>
    <t>19.04.2023.</t>
  </si>
  <si>
    <t>20.04.2023.</t>
  </si>
  <si>
    <t>21.04.2023.</t>
  </si>
  <si>
    <t>22.04.2023.</t>
  </si>
  <si>
    <t>23.04.2023.</t>
  </si>
  <si>
    <t>24.04.2023.</t>
  </si>
  <si>
    <t>25.04.2023.</t>
  </si>
  <si>
    <t>26.04.2023.</t>
  </si>
  <si>
    <t>27.04.2023.</t>
  </si>
  <si>
    <t>28.04.2023.</t>
  </si>
  <si>
    <t>12.05.2023.</t>
  </si>
  <si>
    <t>13.05.2023.</t>
  </si>
  <si>
    <t>14.05.2023.</t>
  </si>
  <si>
    <t>15.05.2023.</t>
  </si>
  <si>
    <t>16.05.2023.</t>
  </si>
  <si>
    <t>17.05.2023.</t>
  </si>
  <si>
    <t>18.05.2023.</t>
  </si>
  <si>
    <t>19.05.2023.</t>
  </si>
  <si>
    <t>20.05.2023.</t>
  </si>
  <si>
    <t>21.05.2023.</t>
  </si>
  <si>
    <t>22.05.2023.</t>
  </si>
  <si>
    <t>23.05.2023.</t>
  </si>
  <si>
    <t>24.05.2023.</t>
  </si>
  <si>
    <t>25.05.2023.</t>
  </si>
  <si>
    <t>26.05.2023.</t>
  </si>
  <si>
    <t>27.05.2023.</t>
  </si>
  <si>
    <t>28.05.2023.</t>
  </si>
  <si>
    <t>29.05.2023.</t>
  </si>
  <si>
    <t>30.05.2023.</t>
  </si>
  <si>
    <t>31.05.2023.</t>
  </si>
  <si>
    <t>01.06.2023.</t>
  </si>
  <si>
    <t>02.06.2023.</t>
  </si>
  <si>
    <t>03.06.2023.</t>
  </si>
  <si>
    <t>04.06.2023.</t>
  </si>
  <si>
    <t>21.06.2023.</t>
  </si>
  <si>
    <t>22.06.2023.</t>
  </si>
  <si>
    <t>23.06.2023.</t>
  </si>
  <si>
    <t>24.06.2023.</t>
  </si>
  <si>
    <t>25.06.2023.</t>
  </si>
  <si>
    <t>26.06.2023.</t>
  </si>
  <si>
    <t>27.06.2023.</t>
  </si>
  <si>
    <t>28.06.2023.</t>
  </si>
  <si>
    <t>29.06.2023.</t>
  </si>
  <si>
    <t>30.06.2023.</t>
  </si>
  <si>
    <t>01.07.2023.</t>
  </si>
  <si>
    <t>02.07.2023.</t>
  </si>
  <si>
    <t>03.07.2023.</t>
  </si>
  <si>
    <t>04.07.2023.</t>
  </si>
  <si>
    <t>05.07.2023.</t>
  </si>
  <si>
    <t>06.07.2023.</t>
  </si>
  <si>
    <t>07.07.2023.</t>
  </si>
  <si>
    <t>08.07.2023.</t>
  </si>
  <si>
    <t>09.07.2023.</t>
  </si>
  <si>
    <t>10.07.2023.</t>
  </si>
  <si>
    <t>11.07.2023.</t>
  </si>
  <si>
    <t>12.07.2023.</t>
  </si>
  <si>
    <t>13.07.2023.</t>
  </si>
  <si>
    <t>14.07.2023.</t>
  </si>
  <si>
    <t>15.07.2023.</t>
  </si>
  <si>
    <t>16.07.2023.</t>
  </si>
  <si>
    <t>17.07.2023.</t>
  </si>
  <si>
    <t>18.07.2023.</t>
  </si>
  <si>
    <t>19.07.2023.</t>
  </si>
  <si>
    <t>12.01.2024.</t>
  </si>
  <si>
    <t>13.01.2024.</t>
  </si>
  <si>
    <t>14.01.2024.</t>
  </si>
  <si>
    <t>15.01.2024.</t>
  </si>
  <si>
    <t>16.01.2024.</t>
  </si>
  <si>
    <t>17.01.2024.</t>
  </si>
  <si>
    <t>18.01.2024.</t>
  </si>
  <si>
    <t>19.01.2024.</t>
  </si>
  <si>
    <t>31.01.2024.</t>
  </si>
  <si>
    <t>01.02.2024.</t>
  </si>
  <si>
    <t>02.02.2024.</t>
  </si>
  <si>
    <t>03.02.2024.</t>
  </si>
  <si>
    <t>04.02.2024.</t>
  </si>
  <si>
    <t>05.02.2024.</t>
  </si>
  <si>
    <t>06.02.2024.</t>
  </si>
  <si>
    <t>07.02.2024.</t>
  </si>
  <si>
    <t>08.02.2024.</t>
  </si>
  <si>
    <t>09.02.2024.</t>
  </si>
  <si>
    <t>10.02.2024.</t>
  </si>
  <si>
    <t>11.02.2024.</t>
  </si>
  <si>
    <t>12.02.2024.</t>
  </si>
  <si>
    <t>06.03.2024.</t>
  </si>
  <si>
    <t>07.03.2024.</t>
  </si>
  <si>
    <t>08.03.2024.</t>
  </si>
  <si>
    <t>09.03.2024.</t>
  </si>
  <si>
    <t>10.03.2024.</t>
  </si>
  <si>
    <t>11.03.2024.</t>
  </si>
  <si>
    <t>12.03.2024.</t>
  </si>
  <si>
    <t>13.03.2024.</t>
  </si>
  <si>
    <t>14.03.2024.</t>
  </si>
  <si>
    <t>15.03.2024.</t>
  </si>
  <si>
    <t>16.03.2024.</t>
  </si>
  <si>
    <t>17.03.2024.</t>
  </si>
  <si>
    <t>18.03.2024.</t>
  </si>
  <si>
    <t>20.03.2024.</t>
  </si>
  <si>
    <t>5 (6)</t>
  </si>
  <si>
    <t>21.03.2024.</t>
  </si>
  <si>
    <t>22.03.2024.</t>
  </si>
  <si>
    <t>23.03.2024.</t>
  </si>
  <si>
    <t>24.03.2024.</t>
  </si>
  <si>
    <t>25.03.2024.</t>
  </si>
  <si>
    <t>26.03.2024.</t>
  </si>
  <si>
    <t>27.03.2024.</t>
  </si>
  <si>
    <t>28.03.2024.</t>
  </si>
  <si>
    <t>29.03.2024.</t>
  </si>
  <si>
    <t>30.03.2024.</t>
  </si>
  <si>
    <t>31.03.2024.</t>
  </si>
  <si>
    <t>01.04.2024.</t>
  </si>
  <si>
    <t>02.04.2024.</t>
  </si>
  <si>
    <t>11.04.2024.</t>
  </si>
  <si>
    <t>12.04.2024.</t>
  </si>
  <si>
    <t>13.04.2024.</t>
  </si>
  <si>
    <t>14.04.2024.</t>
  </si>
  <si>
    <t>15.04.2024.</t>
  </si>
  <si>
    <t>16.04.2024.</t>
  </si>
  <si>
    <t>17.04.2024.</t>
  </si>
  <si>
    <t>18.04.2024.</t>
  </si>
  <si>
    <t>19.04.2024.</t>
  </si>
  <si>
    <t>20.04.2024.</t>
  </si>
  <si>
    <t>21.04.2024.</t>
  </si>
  <si>
    <t>22.04.2024.</t>
  </si>
  <si>
    <t>23.04.2024.</t>
  </si>
  <si>
    <t>Temperature</t>
  </si>
  <si>
    <t>Settlement</t>
  </si>
  <si>
    <t>Aeration rate</t>
  </si>
  <si>
    <t>Time</t>
  </si>
  <si>
    <t>Transducer No.1 [cm]</t>
  </si>
  <si>
    <t>Transducer No.2 [cm]</t>
  </si>
  <si>
    <t>Transducer No.3 [cm]</t>
  </si>
  <si>
    <t>[kg]</t>
  </si>
  <si>
    <t>[g]</t>
  </si>
  <si>
    <t>Hours</t>
  </si>
  <si>
    <t>Daily change of sample  mass</t>
  </si>
  <si>
    <t>Pt100 probe</t>
  </si>
  <si>
    <t>Date (dd.mm.yyyy.)</t>
  </si>
  <si>
    <t>L/min (1 hour run/1 hour stop)</t>
  </si>
  <si>
    <t>Total mass (sample + bioreactor cell)</t>
  </si>
  <si>
    <t>Days counter</t>
  </si>
  <si>
    <t xml:space="preserve">Total sample mass (wet) </t>
  </si>
  <si>
    <t>-</t>
  </si>
  <si>
    <t>Measured values</t>
  </si>
  <si>
    <t>Solid particle density ro_s</t>
  </si>
  <si>
    <t>Calculated values</t>
  </si>
  <si>
    <t>Settlement increment</t>
  </si>
  <si>
    <t>Moisture content (WM)</t>
  </si>
  <si>
    <t>Moisture content (DM)</t>
  </si>
  <si>
    <t>Start</t>
  </si>
  <si>
    <t>End</t>
  </si>
  <si>
    <t xml:space="preserve">Total mass loss through experiment (kg): </t>
  </si>
  <si>
    <t>Residual mass of water after drying in oven (kg):</t>
  </si>
  <si>
    <t>Initial mass of water (kg):</t>
  </si>
  <si>
    <t>Loss of water (kg):</t>
  </si>
  <si>
    <t>Loss of organic component (kg):</t>
  </si>
  <si>
    <t xml:space="preserve">Loss of water / loss of organic content ratio: </t>
  </si>
  <si>
    <t>/</t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</si>
  <si>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(6,85:1)</t>
    </r>
  </si>
  <si>
    <t>Daily loss of total mass in increments</t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</si>
  <si>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(6,85:1)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</si>
  <si>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(6,85:1)</t>
    </r>
  </si>
  <si>
    <t>Cummulative mass loss of water</t>
  </si>
  <si>
    <t>Daily loss of total mass due to evaporation only</t>
  </si>
  <si>
    <t>[-]</t>
  </si>
  <si>
    <t xml:space="preserve">Water density ro_w </t>
  </si>
  <si>
    <r>
      <t>[kg/m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]</t>
    </r>
  </si>
  <si>
    <t xml:space="preserve">Settlement - start from 0 </t>
  </si>
  <si>
    <t>[cm]</t>
  </si>
  <si>
    <t>[m]</t>
  </si>
  <si>
    <r>
      <t>[m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]</t>
    </r>
  </si>
  <si>
    <t>Sample height</t>
  </si>
  <si>
    <t>Cell diameter</t>
  </si>
  <si>
    <t xml:space="preserve">Sample volume </t>
  </si>
  <si>
    <t>Sample dry mass</t>
  </si>
  <si>
    <t>Bulk density</t>
  </si>
  <si>
    <t>Dry density</t>
  </si>
  <si>
    <t>Dry density - control column</t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</si>
  <si>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(5,07:1)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</si>
  <si>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(5,07:1)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</si>
  <si>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(5,07:1)</t>
    </r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</si>
  <si>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(9,06:1)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</si>
  <si>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(9,06:1)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</si>
  <si>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(9,06:1)</t>
    </r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</si>
  <si>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(6,13:1)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</si>
  <si>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(6,13:1)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</si>
  <si>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(6,13:1)</t>
    </r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</si>
  <si>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(5,83:1)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</si>
  <si>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(5,83:1)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</si>
  <si>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(5,83:1)</t>
    </r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</si>
  <si>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(6,01:1)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</si>
  <si>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(6,01:1)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</si>
  <si>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(6,01:1)</t>
    </r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</si>
  <si>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(5,57:1)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</si>
  <si>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(5,57:1)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</si>
  <si>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(5,57:1)</t>
    </r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</si>
  <si>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(6,26:1)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</si>
  <si>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(6,26:1)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</si>
  <si>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(6,26:1)</t>
    </r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</si>
  <si>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(7,43:1)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</si>
  <si>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(7,43:1)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</si>
  <si>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(7,43:1)</t>
    </r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</si>
  <si>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(7,15:1)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</si>
  <si>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(7,15:1)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</si>
  <si>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(7,15:1)</t>
    </r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</si>
  <si>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(4,45:1)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</si>
  <si>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(4,45:1)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</si>
  <si>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(4,45:1)</t>
    </r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</si>
  <si>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(5,27:1)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</si>
  <si>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(5,27:1)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</si>
  <si>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(5,27:1)</t>
    </r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</si>
  <si>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(5,74:1)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</si>
  <si>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(5,74:1)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</si>
  <si>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(5,74:1)</t>
    </r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</si>
  <si>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(9,04:1)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</si>
  <si>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(9,04:1)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</si>
  <si>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(9,04:1)</t>
    </r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</si>
  <si>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(24,09:1)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</si>
  <si>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(24,09:1)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</si>
  <si>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(24,09:1)</t>
    </r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</si>
  <si>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(4,56:1)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</si>
  <si>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(4,56:1)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</si>
  <si>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(4,56:1)</t>
    </r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</si>
  <si>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(4,83:1)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</si>
  <si>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(4,83:1)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</si>
  <si>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(4,83:1)</t>
    </r>
  </si>
  <si>
    <r>
      <t xml:space="preserve">Daily mass loss of water in increments </t>
    </r>
    <r>
      <rPr>
        <sz val="11"/>
        <color rgb="FFFF0000"/>
        <rFont val="Calibri"/>
        <family val="2"/>
        <charset val="238"/>
        <scheme val="minor"/>
      </rPr>
      <t>(8,52:1)</t>
    </r>
  </si>
  <si>
    <r>
      <t xml:space="preserve">Daily mass loss of organic content in increments  </t>
    </r>
    <r>
      <rPr>
        <sz val="11"/>
        <color rgb="FFFF0000"/>
        <rFont val="Calibri"/>
        <family val="2"/>
        <charset val="238"/>
        <scheme val="minor"/>
      </rPr>
      <t>(8,52:1)</t>
    </r>
  </si>
  <si>
    <r>
      <t xml:space="preserve">Cummulative mass loss of water </t>
    </r>
    <r>
      <rPr>
        <sz val="11"/>
        <color rgb="FFFF0000"/>
        <rFont val="Calibri"/>
        <family val="2"/>
        <charset val="238"/>
        <scheme val="minor"/>
      </rPr>
      <t>(8,52:1)</t>
    </r>
  </si>
  <si>
    <t>Link:</t>
  </si>
  <si>
    <t xml:space="preserve">Na repozitoriju Geotehničkog fakulteta Dabar </t>
  </si>
  <si>
    <r>
      <t>Bosilj, D., Petrovic, I., Hrncic, N., &amp; Kaniski, N. (2024). Biodrying of municipal solid waste-correlations between moisture content, organic content, and end of the biodrying process time. </t>
    </r>
    <r>
      <rPr>
        <i/>
        <sz val="10"/>
        <color rgb="FF212121"/>
        <rFont val="Segoe UI"/>
        <family val="2"/>
        <charset val="238"/>
      </rPr>
      <t>Environmental science and pollution research international</t>
    </r>
    <r>
      <rPr>
        <sz val="10"/>
        <color rgb="FF212121"/>
        <rFont val="Segoe UI"/>
        <family val="2"/>
        <charset val="238"/>
      </rPr>
      <t>,  DOI: 10.1007/s11356-024-32736-w</t>
    </r>
  </si>
  <si>
    <t xml:space="preserve">Link:   </t>
  </si>
  <si>
    <t xml:space="preserve">https://repozitorij.gfv.unizg.hr/ </t>
  </si>
  <si>
    <t>Biodrying of municipal solid waste…</t>
  </si>
  <si>
    <t>Additional information</t>
  </si>
  <si>
    <t>Sceintific article</t>
  </si>
  <si>
    <t>Doctoral dissertation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</si>
</sst>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0"/>
      <color rgb="FF212121"/>
      <name val="Segoe UI"/>
      <family val="2"/>
      <charset val="238"/>
    </font>
    <font>
      <i/>
      <sz val="10"/>
      <color rgb="FF212121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0" fillId="4" borderId="0" xfId="0" applyFill="1"/>
    <xf numFmtId="164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7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4" fillId="6" borderId="0" xfId="0" applyFont="1" applyFill="1" applyAlignment="1">
      <alignment horizontal="right"/>
    </xf>
    <xf numFmtId="2" fontId="4" fillId="6" borderId="0" xfId="0" applyNumberFormat="1" applyFont="1" applyFill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10" fillId="8" borderId="0" xfId="0" applyFont="1" applyFill="1" applyAlignment="1">
      <alignment horizontal="right"/>
    </xf>
    <xf numFmtId="2" fontId="10" fillId="8" borderId="0" xfId="0" applyNumberFormat="1" applyFont="1" applyFill="1"/>
    <xf numFmtId="0" fontId="0" fillId="0" borderId="0" xfId="0" applyAlignment="1">
      <alignment horizontal="center" vertical="center"/>
    </xf>
    <xf numFmtId="164" fontId="8" fillId="0" borderId="0" xfId="0" applyNumberFormat="1" applyFont="1"/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2" xfId="0" applyBorder="1"/>
    <xf numFmtId="164" fontId="0" fillId="0" borderId="2" xfId="0" applyNumberFormat="1" applyBorder="1"/>
    <xf numFmtId="0" fontId="0" fillId="0" borderId="4" xfId="0" applyBorder="1"/>
    <xf numFmtId="0" fontId="0" fillId="0" borderId="4" xfId="0" applyBorder="1" applyAlignment="1">
      <alignment wrapText="1"/>
    </xf>
    <xf numFmtId="2" fontId="0" fillId="0" borderId="4" xfId="0" applyNumberFormat="1" applyBorder="1"/>
    <xf numFmtId="0" fontId="0" fillId="0" borderId="3" xfId="0" applyBorder="1"/>
    <xf numFmtId="0" fontId="1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20" fontId="1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5" xfId="0" applyBorder="1"/>
    <xf numFmtId="0" fontId="10" fillId="8" borderId="0" xfId="0" applyFont="1" applyFill="1" applyAlignment="1">
      <alignment horizontal="right" wrapText="1"/>
    </xf>
    <xf numFmtId="20" fontId="0" fillId="0" borderId="1" xfId="0" applyNumberForma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20" fontId="3" fillId="0" borderId="0" xfId="0" applyNumberFormat="1" applyFont="1" applyAlignment="1">
      <alignment horizontal="center"/>
    </xf>
    <xf numFmtId="2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20" fontId="6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1" fillId="0" borderId="0" xfId="0" applyFont="1"/>
    <xf numFmtId="0" fontId="1" fillId="0" borderId="0" xfId="0" applyFont="1"/>
    <xf numFmtId="0" fontId="13" fillId="0" borderId="0" xfId="1"/>
    <xf numFmtId="0" fontId="0" fillId="4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78704DE-B33E-4E79-B49F-27C6E1216A45}"/>
            </a:ext>
          </a:extLst>
        </xdr:cNvPr>
        <xdr:cNvSpPr txBox="1"/>
      </xdr:nvSpPr>
      <xdr:spPr>
        <a:xfrm>
          <a:off x="8410575" y="49305"/>
          <a:ext cx="5562600" cy="29718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#1 - initial moisture content 45%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7087709D-49CB-4499-A76C-1600A5DDDB1E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5.</a:t>
          </a:r>
        </a:p>
      </xdr:txBody>
    </xdr:sp>
    <xdr:clientData/>
  </xdr:twoCellAnchor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54B82A5-7092-4A4A-9579-6B5BA98813C3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3.</a:t>
          </a:r>
        </a:p>
      </xdr:txBody>
    </xdr:sp>
    <xdr:clientData/>
  </xdr:twoCellAnchor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1C0D2E49-377B-47CF-8FDF-1E3B3B1EB73B}"/>
            </a:ext>
          </a:extLst>
        </xdr:cNvPr>
        <xdr:cNvSpPr txBox="1"/>
      </xdr:nvSpPr>
      <xdr:spPr>
        <a:xfrm>
          <a:off x="7191375" y="49305"/>
          <a:ext cx="560832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#10 - initial organic content 40%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4227EDD-D707-48A6-855B-E583BE09E959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5.</a:t>
          </a:r>
        </a:p>
      </xdr:txBody>
    </xdr:sp>
    <xdr:clientData/>
  </xdr:twoCellAnchor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0A7482F-A820-4088-9A09-42D144D445D4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3.</a:t>
          </a:r>
        </a:p>
      </xdr:txBody>
    </xdr:sp>
    <xdr:clientData/>
  </xdr:twoCellAnchor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E6C1D988-D9FE-44BE-9A64-61DEABE74150}"/>
            </a:ext>
          </a:extLst>
        </xdr:cNvPr>
        <xdr:cNvSpPr txBox="1"/>
      </xdr:nvSpPr>
      <xdr:spPr>
        <a:xfrm>
          <a:off x="7191375" y="49305"/>
          <a:ext cx="560832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#11 - initial organic content 70%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896D85CE-B912-40E2-B68C-B4D62627C7B2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5.</a:t>
          </a:r>
        </a:p>
      </xdr:txBody>
    </xdr:sp>
    <xdr:clientData/>
  </xdr:twoCellAnchor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16412EE-8BB9-4914-B7D7-0F10A433A135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3.</a:t>
          </a:r>
        </a:p>
      </xdr:txBody>
    </xdr:sp>
    <xdr:clientData/>
  </xdr:twoCellAnchor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FC31FDE0-DEE3-4206-B5CD-4E2994CFA25D}"/>
            </a:ext>
          </a:extLst>
        </xdr:cNvPr>
        <xdr:cNvSpPr txBox="1"/>
      </xdr:nvSpPr>
      <xdr:spPr>
        <a:xfrm>
          <a:off x="7191375" y="49305"/>
          <a:ext cx="560832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#12 - initial organic content 30%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573B4DF5-192E-420A-A9E6-5E11C5161491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5.</a:t>
          </a:r>
        </a:p>
      </xdr:txBody>
    </xdr:sp>
    <xdr:clientData/>
  </xdr:twoCellAnchor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472FD07-A137-49FC-8611-A8BA9EC88AD7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3.</a:t>
          </a:r>
        </a:p>
      </xdr:txBody>
    </xdr:sp>
    <xdr:clientData/>
  </xdr:twoCellAnchor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A1E03636-0C32-4823-93DE-9CE149CF1A10}"/>
            </a:ext>
          </a:extLst>
        </xdr:cNvPr>
        <xdr:cNvSpPr txBox="1"/>
      </xdr:nvSpPr>
      <xdr:spPr>
        <a:xfrm>
          <a:off x="7191375" y="49305"/>
          <a:ext cx="560832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#13 - initial organic content 50%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E481119C-675B-47C7-9E89-CF0D2215104C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5.</a:t>
          </a:r>
        </a:p>
      </xdr:txBody>
    </xdr:sp>
    <xdr:clientData/>
  </xdr:twoCellAnchor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783B1D0-487B-4FCC-8135-C7688DEA2FAE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3.</a:t>
          </a:r>
        </a:p>
      </xdr:txBody>
    </xdr:sp>
    <xdr:clientData/>
  </xdr:twoCellAnchor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DA946A0D-B0F7-4729-AC66-5CCFA32A65E3}"/>
            </a:ext>
          </a:extLst>
        </xdr:cNvPr>
        <xdr:cNvSpPr txBox="1"/>
      </xdr:nvSpPr>
      <xdr:spPr>
        <a:xfrm>
          <a:off x="7191375" y="49305"/>
          <a:ext cx="560832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#14 - initial organic content 40%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B9B3C22F-E155-4B0C-B703-6D3B11B9443B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5.</a:t>
          </a:r>
        </a:p>
      </xdr:txBody>
    </xdr:sp>
    <xdr:clientData/>
  </xdr:twoCellAnchor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024F38F-741A-4F1E-AFEA-2F1003817D88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3.</a:t>
          </a:r>
        </a:p>
      </xdr:txBody>
    </xdr:sp>
    <xdr:clientData/>
  </xdr:twoCellAnchor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35BB6A41-C88E-4747-8C8A-13C448DADEF6}"/>
            </a:ext>
          </a:extLst>
        </xdr:cNvPr>
        <xdr:cNvSpPr txBox="1"/>
      </xdr:nvSpPr>
      <xdr:spPr>
        <a:xfrm>
          <a:off x="7191375" y="49305"/>
          <a:ext cx="560832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#15 - initial organic content 60%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2E2BA10-8CE5-48AE-B543-5F00362DD858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5.</a:t>
          </a:r>
        </a:p>
      </xdr:txBody>
    </xdr:sp>
    <xdr:clientData/>
  </xdr:twoCellAnchor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33C3F7C-005F-4033-AE6A-BCAD81D93E29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3.</a:t>
          </a:r>
        </a:p>
      </xdr:txBody>
    </xdr:sp>
    <xdr:clientData/>
  </xdr:twoCellAnchor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ABAE460D-AD21-4DB6-ACC5-1DFB0F0CF0AA}"/>
            </a:ext>
          </a:extLst>
        </xdr:cNvPr>
        <xdr:cNvSpPr txBox="1"/>
      </xdr:nvSpPr>
      <xdr:spPr>
        <a:xfrm>
          <a:off x="7191375" y="49305"/>
          <a:ext cx="560832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#16 - initial organic content 30%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2281E13C-FD64-4BD5-957B-DCA48150325F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5.</a:t>
          </a:r>
        </a:p>
      </xdr:txBody>
    </xdr:sp>
    <xdr:clientData/>
  </xdr:twoCellAnchor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C16F31-34E6-4C32-A178-1E2BFFD3145E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3.</a:t>
          </a:r>
        </a:p>
      </xdr:txBody>
    </xdr:sp>
    <xdr:clientData/>
  </xdr:twoCellAnchor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D74F08AD-4265-4E2D-A5EF-EE219C091411}"/>
            </a:ext>
          </a:extLst>
        </xdr:cNvPr>
        <xdr:cNvSpPr txBox="1"/>
      </xdr:nvSpPr>
      <xdr:spPr>
        <a:xfrm>
          <a:off x="7191375" y="49305"/>
          <a:ext cx="560832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#17 - initial organic content 50%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FB5DC2F9-2D7C-4614-B550-D370114B45AA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5.</a:t>
          </a:r>
        </a:p>
      </xdr:txBody>
    </xdr:sp>
    <xdr:clientData/>
  </xdr:twoCellAnchor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05245AA-6CC3-4109-8D9F-D68DA4416968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3.</a:t>
          </a:r>
        </a:p>
      </xdr:txBody>
    </xdr:sp>
    <xdr:clientData/>
  </xdr:twoCellAnchor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7BAE7285-3221-4FAA-81BE-EBBF91480599}"/>
            </a:ext>
          </a:extLst>
        </xdr:cNvPr>
        <xdr:cNvSpPr txBox="1"/>
      </xdr:nvSpPr>
      <xdr:spPr>
        <a:xfrm>
          <a:off x="7191375" y="49305"/>
          <a:ext cx="560832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#18 - initial organic content 60%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6E07492C-B101-4005-89D5-A39AFDE44F24}"/>
            </a:ext>
          </a:extLst>
        </xdr:cNvPr>
        <xdr:cNvSpPr txBox="1"/>
      </xdr:nvSpPr>
      <xdr:spPr>
        <a:xfrm>
          <a:off x="6566535" y="49305"/>
          <a:ext cx="563880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#2 - initial moisture content 45%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8DEC2AD0-0C46-4D45-AAD0-F94AB757FB1E}"/>
            </a:ext>
          </a:extLst>
        </xdr:cNvPr>
        <xdr:cNvSpPr txBox="1"/>
      </xdr:nvSpPr>
      <xdr:spPr>
        <a:xfrm>
          <a:off x="886206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3.</a:t>
          </a:r>
        </a:p>
      </xdr:txBody>
    </xdr:sp>
    <xdr:clientData/>
  </xdr:twoCellAnchor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3D1DF85-43DB-4480-B9B9-16F1AAB6E03A}"/>
            </a:ext>
          </a:extLst>
        </xdr:cNvPr>
        <xdr:cNvSpPr txBox="1"/>
      </xdr:nvSpPr>
      <xdr:spPr>
        <a:xfrm>
          <a:off x="7191375" y="49305"/>
          <a:ext cx="560832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#3 - initial moisture content 35%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C1858FC8-02ED-4DBA-8ECE-5DA239A76A9F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3.</a:t>
          </a:r>
        </a:p>
      </xdr:txBody>
    </xdr:sp>
    <xdr:clientData/>
  </xdr:twoCellAnchor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70B0094-3F80-44D8-9A0C-F5714BD09200}"/>
            </a:ext>
          </a:extLst>
        </xdr:cNvPr>
        <xdr:cNvSpPr txBox="1"/>
      </xdr:nvSpPr>
      <xdr:spPr>
        <a:xfrm>
          <a:off x="7191375" y="49305"/>
          <a:ext cx="560832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#4 - initial moisture content 55%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FC266457-A885-48C1-8F30-0E852F96B38A}"/>
            </a:ext>
          </a:extLst>
        </xdr:cNvPr>
        <xdr:cNvSpPr txBox="1"/>
      </xdr:nvSpPr>
      <xdr:spPr>
        <a:xfrm>
          <a:off x="886206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5.</a:t>
          </a:r>
        </a:p>
      </xdr:txBody>
    </xdr:sp>
    <xdr:clientData/>
  </xdr:twoCellAnchor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58F2B78-CCCB-47A3-A2D4-05EE0CE13217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3.</a:t>
          </a:r>
        </a:p>
      </xdr:txBody>
    </xdr:sp>
    <xdr:clientData/>
  </xdr:twoCellAnchor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D54E25A-6263-4808-B7A9-12C183AF24C9}"/>
            </a:ext>
          </a:extLst>
        </xdr:cNvPr>
        <xdr:cNvSpPr txBox="1"/>
      </xdr:nvSpPr>
      <xdr:spPr>
        <a:xfrm>
          <a:off x="7191375" y="49305"/>
          <a:ext cx="560832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#5 - initial moisture content 50%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5E76DBB-07F0-4662-A646-9CCC127280D7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5.</a:t>
          </a:r>
        </a:p>
      </xdr:txBody>
    </xdr:sp>
    <xdr:clientData/>
  </xdr:twoCellAnchor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B078AAC-42FE-46EB-BE51-2111F86D505D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3.</a:t>
          </a:r>
        </a:p>
      </xdr:txBody>
    </xdr:sp>
    <xdr:clientData/>
  </xdr:twoCellAnchor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30543AE9-570E-4E7F-A70D-FD2AC973C8B6}"/>
            </a:ext>
          </a:extLst>
        </xdr:cNvPr>
        <xdr:cNvSpPr txBox="1"/>
      </xdr:nvSpPr>
      <xdr:spPr>
        <a:xfrm>
          <a:off x="7191375" y="49305"/>
          <a:ext cx="560832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#6 - initial moisture content 40%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31CB7889-9666-4C2E-82D9-1F9B6C93A730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5.</a:t>
          </a:r>
        </a:p>
      </xdr:txBody>
    </xdr:sp>
    <xdr:clientData/>
  </xdr:twoCellAnchor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A054E04-8B28-449E-9FB8-8695883DD2EA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3.</a:t>
          </a:r>
        </a:p>
      </xdr:txBody>
    </xdr:sp>
    <xdr:clientData/>
  </xdr:twoCellAnchor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E5D94E0-A97A-464D-8CF6-BC35D12185A4}"/>
            </a:ext>
          </a:extLst>
        </xdr:cNvPr>
        <xdr:cNvSpPr txBox="1"/>
      </xdr:nvSpPr>
      <xdr:spPr>
        <a:xfrm>
          <a:off x="7191375" y="49305"/>
          <a:ext cx="560832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#7 - initial organic content 40%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ADE43146-CF39-420A-AAF6-A06C1E7E186C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5.</a:t>
          </a:r>
        </a:p>
      </xdr:txBody>
    </xdr:sp>
    <xdr:clientData/>
  </xdr:twoCellAnchor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0F42D40-F443-4308-AB42-7DF767193F94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3.</a:t>
          </a:r>
        </a:p>
      </xdr:txBody>
    </xdr:sp>
    <xdr:clientData/>
  </xdr:twoCellAnchor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9693C63-8C7F-4BAB-8546-895552D79572}"/>
            </a:ext>
          </a:extLst>
        </xdr:cNvPr>
        <xdr:cNvSpPr txBox="1"/>
      </xdr:nvSpPr>
      <xdr:spPr>
        <a:xfrm>
          <a:off x="7191375" y="49305"/>
          <a:ext cx="560832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#8 - initial organic content 60%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32D98A93-D1D3-4B4E-B41F-2C7085990507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5.</a:t>
          </a:r>
        </a:p>
      </xdr:txBody>
    </xdr:sp>
    <xdr:clientData/>
  </xdr:twoCellAnchor>
  <xdr:twoCellAnchor>
    <xdr:from>
      <xdr:col>10</xdr:col>
      <xdr:colOff>388620</xdr:colOff>
      <xdr:row>0</xdr:row>
      <xdr:rowOff>38100</xdr:rowOff>
    </xdr:from>
    <xdr:to>
      <xdr:col>13</xdr:col>
      <xdr:colOff>411480</xdr:colOff>
      <xdr:row>1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FDAFA0A-AA3D-426C-A5EC-48469E29B9AA}"/>
            </a:ext>
          </a:extLst>
        </xdr:cNvPr>
        <xdr:cNvSpPr txBox="1"/>
      </xdr:nvSpPr>
      <xdr:spPr>
        <a:xfrm>
          <a:off x="8999220" y="38100"/>
          <a:ext cx="185166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Biosušenje broj 3.</a:t>
          </a:r>
        </a:p>
      </xdr:txBody>
    </xdr:sp>
    <xdr:clientData/>
  </xdr:twoCellAnchor>
  <xdr:twoCellAnchor>
    <xdr:from>
      <xdr:col>7</xdr:col>
      <xdr:colOff>409575</xdr:colOff>
      <xdr:row>0</xdr:row>
      <xdr:rowOff>49305</xdr:rowOff>
    </xdr:from>
    <xdr:to>
      <xdr:col>15</xdr:col>
      <xdr:colOff>333375</xdr:colOff>
      <xdr:row>1</xdr:row>
      <xdr:rowOff>155985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5A7D4B24-5153-4E83-972F-CCF6C1A13996}"/>
            </a:ext>
          </a:extLst>
        </xdr:cNvPr>
        <xdr:cNvSpPr txBox="1"/>
      </xdr:nvSpPr>
      <xdr:spPr>
        <a:xfrm>
          <a:off x="7191375" y="49305"/>
          <a:ext cx="5608320" cy="289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400" b="1"/>
            <a:t>Biodrying</a:t>
          </a:r>
          <a:r>
            <a:rPr lang="hr-HR" sz="1400" b="1" baseline="0"/>
            <a:t> Test</a:t>
          </a:r>
          <a:r>
            <a:rPr lang="hr-HR" sz="1400" b="1"/>
            <a:t> #9 - initial organic content 30% (on the wet</a:t>
          </a:r>
          <a:r>
            <a:rPr lang="hr-HR" sz="1400" b="1" baseline="0"/>
            <a:t> mass basis)</a:t>
          </a:r>
        </a:p>
        <a:p>
          <a:endParaRPr lang="hr-HR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pozitorij.gfv.unizg.hr/" TargetMode="External"/><Relationship Id="rId1" Type="http://schemas.openxmlformats.org/officeDocument/2006/relationships/hyperlink" Target="https://link.springer.com/article/10.1007/s11356-024-32736-w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59A92-FFC0-4614-A2E8-1B9707B6050B}">
  <dimension ref="A1:AV1110"/>
  <sheetViews>
    <sheetView tabSelected="1" topLeftCell="A5" zoomScale="85" zoomScaleNormal="85" workbookViewId="0">
      <selection activeCell="C36" sqref="C36"/>
    </sheetView>
  </sheetViews>
  <sheetFormatPr defaultRowHeight="15" x14ac:dyDescent="0.25"/>
  <cols>
    <col min="2" max="2" width="21" customWidth="1"/>
    <col min="3" max="3" width="25" customWidth="1"/>
    <col min="4" max="4" width="13" customWidth="1"/>
    <col min="5" max="5" width="12.5703125" customWidth="1"/>
    <col min="6" max="6" width="11.85546875" customWidth="1"/>
    <col min="7" max="7" width="10.28515625" customWidth="1"/>
    <col min="9" max="9" width="8.85546875" customWidth="1"/>
    <col min="14" max="14" width="16.140625" customWidth="1"/>
    <col min="15" max="15" width="13.85546875" customWidth="1"/>
    <col min="16" max="16" width="13.42578125" customWidth="1"/>
    <col min="17" max="17" width="15.85546875" customWidth="1"/>
    <col min="18" max="18" width="13.85546875" customWidth="1"/>
    <col min="19" max="19" width="11.42578125" customWidth="1"/>
    <col min="21" max="21" width="12.85546875" customWidth="1"/>
    <col min="22" max="22" width="18.85546875" customWidth="1"/>
    <col min="23" max="23" width="20.85546875" customWidth="1"/>
    <col min="24" max="24" width="15.42578125" customWidth="1"/>
    <col min="25" max="25" width="14.42578125" customWidth="1"/>
    <col min="26" max="26" width="16" customWidth="1"/>
    <col min="27" max="27" width="10.42578125" customWidth="1"/>
    <col min="30" max="30" width="12.5703125" customWidth="1"/>
    <col min="31" max="31" width="14.85546875" customWidth="1"/>
    <col min="32" max="32" width="12.42578125" customWidth="1"/>
    <col min="33" max="33" width="14.28515625" customWidth="1"/>
    <col min="34" max="34" width="12.7109375" customWidth="1"/>
    <col min="35" max="35" width="15.28515625" customWidth="1"/>
    <col min="36" max="36" width="14.28515625" customWidth="1"/>
    <col min="37" max="37" width="14.42578125" customWidth="1"/>
    <col min="38" max="38" width="14.7109375" customWidth="1"/>
    <col min="39" max="39" width="17.42578125" customWidth="1"/>
    <col min="40" max="40" width="14.140625" customWidth="1"/>
    <col min="41" max="41" width="17" customWidth="1"/>
    <col min="42" max="42" width="15.7109375" customWidth="1"/>
    <col min="43" max="43" width="14.28515625" customWidth="1"/>
    <col min="44" max="44" width="16.5703125" customWidth="1"/>
  </cols>
  <sheetData>
    <row r="1" spans="2:43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3" x14ac:dyDescent="0.25">
      <c r="H2" s="1"/>
      <c r="I2" s="1"/>
      <c r="J2" s="1"/>
      <c r="K2" s="1"/>
      <c r="L2" s="1"/>
      <c r="M2" s="1"/>
      <c r="N2" s="1"/>
      <c r="O2" s="1"/>
      <c r="P2" s="1"/>
      <c r="AI2" s="19">
        <v>76</v>
      </c>
      <c r="AQ2" s="35"/>
    </row>
    <row r="3" spans="2:43" x14ac:dyDescent="0.25">
      <c r="AQ3" s="35"/>
    </row>
    <row r="4" spans="2:43" ht="60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S4" s="17" t="s">
        <v>301</v>
      </c>
      <c r="T4" s="17" t="s">
        <v>300</v>
      </c>
      <c r="U4" s="17" t="s">
        <v>319</v>
      </c>
      <c r="V4" s="17" t="s">
        <v>320</v>
      </c>
      <c r="W4" s="17" t="s">
        <v>321</v>
      </c>
      <c r="X4" s="17" t="s">
        <v>318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6"/>
    </row>
    <row r="5" spans="2:43" ht="6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R5" s="17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3" x14ac:dyDescent="0.25">
      <c r="B6" s="3" t="s">
        <v>8</v>
      </c>
      <c r="C6" s="5">
        <v>34.799999999999997</v>
      </c>
      <c r="D6" s="2">
        <v>4</v>
      </c>
      <c r="E6" s="2">
        <v>4</v>
      </c>
      <c r="F6" s="2">
        <v>4</v>
      </c>
      <c r="G6" s="2">
        <v>20</v>
      </c>
      <c r="H6" s="2">
        <v>0</v>
      </c>
      <c r="I6" s="2">
        <v>0</v>
      </c>
      <c r="J6" s="2">
        <v>0</v>
      </c>
      <c r="K6" s="2">
        <v>21</v>
      </c>
      <c r="L6" s="2">
        <v>0</v>
      </c>
      <c r="M6" s="2">
        <v>0</v>
      </c>
      <c r="N6" s="2">
        <v>38.4</v>
      </c>
      <c r="O6" s="2">
        <v>0</v>
      </c>
      <c r="P6" s="4">
        <v>0.74583333333333324</v>
      </c>
      <c r="R6" s="18"/>
      <c r="S6" s="30">
        <f t="shared" ref="S6:S19" si="0">N6-22.98</f>
        <v>15.419999999999998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6.94</v>
      </c>
      <c r="Z6" s="30">
        <f>S6-V6</f>
        <v>15.419999999999998</v>
      </c>
      <c r="AA6" s="31">
        <f>Y6/Z6</f>
        <v>0.45006485084306103</v>
      </c>
      <c r="AC6" s="18"/>
      <c r="AD6" s="18">
        <v>1000</v>
      </c>
      <c r="AE6" s="22" t="s">
        <v>309</v>
      </c>
      <c r="AF6" s="23">
        <v>1510</v>
      </c>
      <c r="AG6" s="19">
        <v>0</v>
      </c>
      <c r="AH6" s="19">
        <v>0</v>
      </c>
      <c r="AI6" s="19">
        <f t="shared" ref="AI6:AI19" si="1">$AI$2-AH6</f>
        <v>76</v>
      </c>
      <c r="AJ6" s="21">
        <v>0.28699999999999998</v>
      </c>
      <c r="AK6" s="19">
        <f>((($AJ$6*$AJ$6)*3.14)/4)*(AI6/100)</f>
        <v>4.9141345399999994E-2</v>
      </c>
      <c r="AL6" s="19">
        <v>8.4809999999999999</v>
      </c>
      <c r="AM6" s="19">
        <f>S6/AK6</f>
        <v>313.78872260180327</v>
      </c>
      <c r="AN6" s="19">
        <f t="shared" ref="AN6:AN19" si="2">AL6/AK6</f>
        <v>172.58379743099181</v>
      </c>
      <c r="AO6" s="19">
        <f>(AA6/(1-AA6))</f>
        <v>0.81839622641509457</v>
      </c>
      <c r="AP6" s="19">
        <f t="shared" ref="AP6:AP19" si="3">AM6/(1+AQ6)</f>
        <v>313.78872260180327</v>
      </c>
      <c r="AQ6" s="37"/>
    </row>
    <row r="7" spans="2:43" x14ac:dyDescent="0.25">
      <c r="B7" s="3" t="s">
        <v>9</v>
      </c>
      <c r="C7" s="5">
        <v>47.8</v>
      </c>
      <c r="D7" s="2">
        <v>11</v>
      </c>
      <c r="E7" s="2">
        <v>11</v>
      </c>
      <c r="F7" s="2">
        <v>11</v>
      </c>
      <c r="G7" s="2">
        <v>20</v>
      </c>
      <c r="H7" s="2">
        <v>10</v>
      </c>
      <c r="I7" s="2">
        <v>0</v>
      </c>
      <c r="J7" s="2">
        <v>4</v>
      </c>
      <c r="K7" s="2">
        <v>4.8</v>
      </c>
      <c r="L7" s="2">
        <v>0</v>
      </c>
      <c r="M7" s="2">
        <v>0</v>
      </c>
      <c r="N7" s="2">
        <v>37.200000000000003</v>
      </c>
      <c r="O7" s="2">
        <v>1200</v>
      </c>
      <c r="P7" s="4">
        <v>0.32430555555555557</v>
      </c>
      <c r="R7" s="18"/>
      <c r="S7" s="30">
        <f t="shared" si="0"/>
        <v>14.220000000000002</v>
      </c>
      <c r="T7" s="30">
        <v>1</v>
      </c>
      <c r="U7" s="30">
        <f t="shared" ref="U7:U19" si="4">S6-S7</f>
        <v>1.1999999999999957</v>
      </c>
      <c r="V7" s="30">
        <f>U7-(U7/6.86)</f>
        <v>1.0250728862973724</v>
      </c>
      <c r="W7" s="30">
        <f t="shared" ref="W7:W19" si="5">U7-V7</f>
        <v>0.17492711370262337</v>
      </c>
      <c r="X7" s="30">
        <f>V7+V6</f>
        <v>1.0250728862973724</v>
      </c>
      <c r="Y7" s="30">
        <f t="shared" ref="Y7:Y19" si="6">6.94-X7</f>
        <v>5.9149271137026282</v>
      </c>
      <c r="Z7" s="30">
        <f t="shared" ref="Z7:Z19" si="7">S6-V7</f>
        <v>14.394927113702625</v>
      </c>
      <c r="AA7" s="31">
        <f t="shared" ref="AA7:AA19" si="8">Y7/S7</f>
        <v>0.41595830616755464</v>
      </c>
      <c r="AC7" s="18"/>
      <c r="AD7" s="18"/>
      <c r="AE7" s="24"/>
      <c r="AF7" s="25"/>
      <c r="AG7" s="19">
        <v>7</v>
      </c>
      <c r="AH7" s="19">
        <f t="shared" ref="AH7:AH19" si="9">AG7-AG6</f>
        <v>7</v>
      </c>
      <c r="AI7" s="19">
        <f t="shared" si="1"/>
        <v>69</v>
      </c>
      <c r="AJ7" s="21">
        <v>0.28699999999999998</v>
      </c>
      <c r="AK7" s="19">
        <f t="shared" ref="AK7:AK19" si="10">((($AJ$6*$AJ$6)*3.14)/4)*(AI7/100)</f>
        <v>4.4615168849999991E-2</v>
      </c>
      <c r="AL7" s="19">
        <f t="shared" ref="AL7:AL19" si="11">AL6-W7</f>
        <v>8.3060728862973772</v>
      </c>
      <c r="AM7" s="19">
        <f t="shared" ref="AM7:AM19" si="12">S7/AK7</f>
        <v>318.72567932688673</v>
      </c>
      <c r="AN7" s="19">
        <f t="shared" si="2"/>
        <v>186.17149952347157</v>
      </c>
      <c r="AO7" s="19">
        <f t="shared" ref="AO7:AO19" si="13">(AA7/(1-AA7))</f>
        <v>0.71220652662323147</v>
      </c>
      <c r="AP7" s="19">
        <f t="shared" si="3"/>
        <v>318.72567932688673</v>
      </c>
      <c r="AQ7" s="37"/>
    </row>
    <row r="8" spans="2:43" x14ac:dyDescent="0.25">
      <c r="B8" s="3" t="s">
        <v>10</v>
      </c>
      <c r="C8" s="5">
        <v>50.5</v>
      </c>
      <c r="D8" s="2">
        <v>13</v>
      </c>
      <c r="E8" s="2">
        <v>13</v>
      </c>
      <c r="F8" s="2">
        <v>13</v>
      </c>
      <c r="G8" s="2">
        <v>20</v>
      </c>
      <c r="H8" s="2">
        <v>27.1</v>
      </c>
      <c r="I8" s="2">
        <v>10</v>
      </c>
      <c r="J8" s="2">
        <v>1</v>
      </c>
      <c r="K8" s="2">
        <v>5.9</v>
      </c>
      <c r="L8" s="2">
        <v>0</v>
      </c>
      <c r="M8" s="2">
        <v>0</v>
      </c>
      <c r="N8" s="2">
        <v>35.200000000000003</v>
      </c>
      <c r="O8" s="2">
        <v>2000</v>
      </c>
      <c r="P8" s="4">
        <v>0.33958333333333335</v>
      </c>
      <c r="R8" s="18"/>
      <c r="S8" s="30">
        <f t="shared" si="0"/>
        <v>12.220000000000002</v>
      </c>
      <c r="T8" s="30">
        <v>2</v>
      </c>
      <c r="U8" s="30">
        <f t="shared" si="4"/>
        <v>2</v>
      </c>
      <c r="V8" s="30">
        <f t="shared" ref="V8:V19" si="14">U8-(U8/6.86)</f>
        <v>1.7084548104956268</v>
      </c>
      <c r="W8" s="30">
        <f t="shared" si="5"/>
        <v>0.29154518950437325</v>
      </c>
      <c r="X8" s="30">
        <f>V7+V8+V6</f>
        <v>2.7335276967929989</v>
      </c>
      <c r="Y8" s="30">
        <f t="shared" si="6"/>
        <v>4.2064723032070015</v>
      </c>
      <c r="Z8" s="30">
        <f t="shared" si="7"/>
        <v>12.511545189504375</v>
      </c>
      <c r="AA8" s="31">
        <f t="shared" si="8"/>
        <v>0.3442285027174305</v>
      </c>
      <c r="AC8" s="18"/>
      <c r="AD8" s="18"/>
      <c r="AE8" s="24"/>
      <c r="AF8" s="25"/>
      <c r="AG8" s="19">
        <v>9</v>
      </c>
      <c r="AH8" s="19">
        <f t="shared" si="9"/>
        <v>2</v>
      </c>
      <c r="AI8" s="19">
        <f t="shared" si="1"/>
        <v>74</v>
      </c>
      <c r="AJ8" s="21">
        <v>0.28699999999999998</v>
      </c>
      <c r="AK8" s="19">
        <f t="shared" si="10"/>
        <v>4.7848152099999992E-2</v>
      </c>
      <c r="AL8" s="19">
        <f t="shared" si="11"/>
        <v>8.014527696793003</v>
      </c>
      <c r="AM8" s="19">
        <f t="shared" si="12"/>
        <v>255.39126306196482</v>
      </c>
      <c r="AN8" s="19">
        <f t="shared" si="2"/>
        <v>167.49921041972704</v>
      </c>
      <c r="AO8" s="19">
        <f t="shared" si="13"/>
        <v>0.52492141568193795</v>
      </c>
      <c r="AP8" s="19">
        <f t="shared" si="3"/>
        <v>255.39126306196482</v>
      </c>
      <c r="AQ8" s="37"/>
    </row>
    <row r="9" spans="2:43" x14ac:dyDescent="0.25">
      <c r="B9" s="3" t="s">
        <v>11</v>
      </c>
      <c r="C9" s="5">
        <v>26.6</v>
      </c>
      <c r="D9" s="2">
        <v>13</v>
      </c>
      <c r="E9" s="2">
        <v>13</v>
      </c>
      <c r="F9" s="2">
        <v>13</v>
      </c>
      <c r="G9" s="2">
        <v>20</v>
      </c>
      <c r="H9" s="2">
        <v>32</v>
      </c>
      <c r="I9" s="2">
        <v>0</v>
      </c>
      <c r="J9" s="2">
        <v>0</v>
      </c>
      <c r="K9" s="2">
        <v>5.8</v>
      </c>
      <c r="L9" s="2">
        <v>0</v>
      </c>
      <c r="M9" s="2">
        <v>0</v>
      </c>
      <c r="N9" s="2">
        <v>34.299999999999997</v>
      </c>
      <c r="O9" s="2">
        <v>900</v>
      </c>
      <c r="P9" s="4">
        <v>0.32569444444444445</v>
      </c>
      <c r="R9" s="18"/>
      <c r="S9" s="30">
        <f t="shared" si="0"/>
        <v>11.319999999999997</v>
      </c>
      <c r="T9" s="30">
        <v>3</v>
      </c>
      <c r="U9" s="30">
        <f t="shared" si="4"/>
        <v>0.90000000000000568</v>
      </c>
      <c r="V9" s="30">
        <f t="shared" si="14"/>
        <v>0.76880466472303688</v>
      </c>
      <c r="W9" s="30">
        <f t="shared" si="5"/>
        <v>0.13119533527696881</v>
      </c>
      <c r="X9" s="30">
        <f>V9+V8+V7+V6</f>
        <v>3.5023323615160358</v>
      </c>
      <c r="Y9" s="30">
        <f t="shared" si="6"/>
        <v>3.4376676384839646</v>
      </c>
      <c r="Z9" s="30">
        <f t="shared" si="7"/>
        <v>11.451195335276966</v>
      </c>
      <c r="AA9" s="31">
        <f t="shared" si="8"/>
        <v>0.30368088679186978</v>
      </c>
      <c r="AC9" s="18"/>
      <c r="AD9" s="18"/>
      <c r="AE9" s="24"/>
      <c r="AF9" s="25"/>
      <c r="AG9" s="19">
        <v>9</v>
      </c>
      <c r="AH9" s="19">
        <f t="shared" si="9"/>
        <v>0</v>
      </c>
      <c r="AI9" s="19">
        <f t="shared" si="1"/>
        <v>76</v>
      </c>
      <c r="AJ9" s="21">
        <v>0.28699999999999998</v>
      </c>
      <c r="AK9" s="19">
        <f t="shared" si="10"/>
        <v>4.9141345399999994E-2</v>
      </c>
      <c r="AL9" s="19">
        <f t="shared" si="11"/>
        <v>7.8833323615160342</v>
      </c>
      <c r="AM9" s="19">
        <f t="shared" si="12"/>
        <v>230.35592346643398</v>
      </c>
      <c r="AN9" s="19">
        <f t="shared" si="2"/>
        <v>160.42158181359102</v>
      </c>
      <c r="AO9" s="19">
        <f t="shared" si="13"/>
        <v>0.43612315249071637</v>
      </c>
      <c r="AP9" s="19">
        <f t="shared" si="3"/>
        <v>230.35592346643398</v>
      </c>
      <c r="AQ9" s="37"/>
    </row>
    <row r="10" spans="2:43" x14ac:dyDescent="0.25">
      <c r="B10" s="3" t="s">
        <v>12</v>
      </c>
      <c r="C10" s="5">
        <v>23.1</v>
      </c>
      <c r="D10" s="2">
        <v>13</v>
      </c>
      <c r="E10" s="2">
        <v>13</v>
      </c>
      <c r="F10" s="2">
        <v>13</v>
      </c>
      <c r="G10" s="2">
        <v>20</v>
      </c>
      <c r="H10" s="2">
        <v>9.9</v>
      </c>
      <c r="I10" s="2">
        <v>1</v>
      </c>
      <c r="J10" s="2">
        <v>0</v>
      </c>
      <c r="K10" s="2">
        <v>5.8</v>
      </c>
      <c r="L10" s="2">
        <v>0</v>
      </c>
      <c r="M10" s="2">
        <v>0</v>
      </c>
      <c r="N10" s="2">
        <v>33.9</v>
      </c>
      <c r="O10" s="2">
        <v>400</v>
      </c>
      <c r="P10" s="4">
        <v>0.32291666666666669</v>
      </c>
      <c r="R10" s="18"/>
      <c r="S10" s="30">
        <f t="shared" si="0"/>
        <v>10.919999999999998</v>
      </c>
      <c r="T10" s="30">
        <v>4</v>
      </c>
      <c r="U10" s="30">
        <f t="shared" si="4"/>
        <v>0.39999999999999858</v>
      </c>
      <c r="V10" s="30">
        <f t="shared" si="14"/>
        <v>0.34169096209912414</v>
      </c>
      <c r="W10" s="30">
        <f t="shared" si="5"/>
        <v>5.8309037900874439E-2</v>
      </c>
      <c r="X10" s="30">
        <f>V10+V9+V8+V7+V6</f>
        <v>3.8440233236151604</v>
      </c>
      <c r="Y10" s="30">
        <f t="shared" si="6"/>
        <v>3.09597667638484</v>
      </c>
      <c r="Z10" s="30">
        <f t="shared" si="7"/>
        <v>10.978309037900873</v>
      </c>
      <c r="AA10" s="31">
        <f t="shared" si="8"/>
        <v>0.2835143476542894</v>
      </c>
      <c r="AC10" s="18"/>
      <c r="AD10" s="18"/>
      <c r="AE10" s="24"/>
      <c r="AF10" s="25"/>
      <c r="AG10" s="19">
        <v>9</v>
      </c>
      <c r="AH10" s="19">
        <f t="shared" si="9"/>
        <v>0</v>
      </c>
      <c r="AI10" s="19">
        <f t="shared" si="1"/>
        <v>76</v>
      </c>
      <c r="AJ10" s="21">
        <v>0.28699999999999998</v>
      </c>
      <c r="AK10" s="19">
        <f t="shared" si="10"/>
        <v>4.9141345399999994E-2</v>
      </c>
      <c r="AL10" s="19">
        <f t="shared" si="11"/>
        <v>7.8250233236151594</v>
      </c>
      <c r="AM10" s="19">
        <f t="shared" si="12"/>
        <v>222.21613818493458</v>
      </c>
      <c r="AN10" s="19">
        <f t="shared" si="2"/>
        <v>159.23502419238119</v>
      </c>
      <c r="AO10" s="19">
        <f t="shared" si="13"/>
        <v>0.39570136083826457</v>
      </c>
      <c r="AP10" s="19">
        <f t="shared" si="3"/>
        <v>222.21613818493458</v>
      </c>
      <c r="AQ10" s="37"/>
    </row>
    <row r="11" spans="2:43" x14ac:dyDescent="0.25">
      <c r="B11" s="3" t="s">
        <v>13</v>
      </c>
      <c r="C11" s="5">
        <v>25.3</v>
      </c>
      <c r="D11" s="2">
        <v>14</v>
      </c>
      <c r="E11" s="2">
        <v>14</v>
      </c>
      <c r="F11" s="2">
        <v>14</v>
      </c>
      <c r="G11" s="2">
        <v>20</v>
      </c>
      <c r="H11" s="2">
        <v>27.8</v>
      </c>
      <c r="I11" s="2">
        <v>1</v>
      </c>
      <c r="J11" s="2">
        <v>0</v>
      </c>
      <c r="K11" s="2">
        <v>5.7</v>
      </c>
      <c r="L11" s="2">
        <v>0</v>
      </c>
      <c r="M11" s="2">
        <v>0</v>
      </c>
      <c r="N11" s="2">
        <v>33.6</v>
      </c>
      <c r="O11" s="2">
        <v>300</v>
      </c>
      <c r="P11" s="4">
        <v>0.32430555555555557</v>
      </c>
      <c r="R11" s="18"/>
      <c r="S11" s="30">
        <f t="shared" si="0"/>
        <v>10.620000000000001</v>
      </c>
      <c r="T11" s="30">
        <v>5</v>
      </c>
      <c r="U11" s="30">
        <f t="shared" si="4"/>
        <v>0.29999999999999716</v>
      </c>
      <c r="V11" s="30">
        <f t="shared" si="14"/>
        <v>0.25626822157434159</v>
      </c>
      <c r="W11" s="30">
        <f t="shared" si="5"/>
        <v>4.3731778425655565E-2</v>
      </c>
      <c r="X11" s="30">
        <f>V11+V10+V9+V8+V7+V6</f>
        <v>4.1002915451895019</v>
      </c>
      <c r="Y11" s="30">
        <f t="shared" si="6"/>
        <v>2.8397084548104985</v>
      </c>
      <c r="Z11" s="30">
        <f t="shared" si="7"/>
        <v>10.663731778425657</v>
      </c>
      <c r="AA11" s="31">
        <f t="shared" si="8"/>
        <v>0.2673925098691618</v>
      </c>
      <c r="AC11" s="18"/>
      <c r="AD11" s="18"/>
      <c r="AE11" s="24"/>
      <c r="AF11" s="25"/>
      <c r="AG11" s="19">
        <v>10</v>
      </c>
      <c r="AH11" s="19">
        <f t="shared" si="9"/>
        <v>1</v>
      </c>
      <c r="AI11" s="19">
        <f t="shared" si="1"/>
        <v>75</v>
      </c>
      <c r="AJ11" s="21">
        <v>0.28699999999999998</v>
      </c>
      <c r="AK11" s="19">
        <f t="shared" si="10"/>
        <v>4.8494748749999997E-2</v>
      </c>
      <c r="AL11" s="19">
        <f t="shared" si="11"/>
        <v>7.7812915451895037</v>
      </c>
      <c r="AM11" s="19">
        <f t="shared" si="12"/>
        <v>218.99278321346085</v>
      </c>
      <c r="AN11" s="19">
        <f t="shared" si="2"/>
        <v>160.45637405616014</v>
      </c>
      <c r="AO11" s="19">
        <f t="shared" si="13"/>
        <v>0.36498740931710583</v>
      </c>
      <c r="AP11" s="19">
        <f t="shared" si="3"/>
        <v>218.99278321346085</v>
      </c>
      <c r="AQ11" s="37"/>
    </row>
    <row r="12" spans="2:43" x14ac:dyDescent="0.25">
      <c r="B12" s="3" t="s">
        <v>14</v>
      </c>
      <c r="C12" s="5">
        <v>28.1</v>
      </c>
      <c r="D12" s="2">
        <v>14</v>
      </c>
      <c r="E12" s="2">
        <v>14</v>
      </c>
      <c r="F12" s="2">
        <v>14</v>
      </c>
      <c r="G12" s="2">
        <v>20</v>
      </c>
      <c r="H12" s="2">
        <v>59.6</v>
      </c>
      <c r="I12" s="2">
        <v>10</v>
      </c>
      <c r="J12" s="2">
        <v>0</v>
      </c>
      <c r="K12" s="2">
        <v>5.7</v>
      </c>
      <c r="L12" s="2">
        <v>0</v>
      </c>
      <c r="M12" s="2">
        <v>0</v>
      </c>
      <c r="N12" s="2">
        <v>33.4</v>
      </c>
      <c r="O12" s="2">
        <v>200</v>
      </c>
      <c r="P12" s="4">
        <v>0.32291666666666669</v>
      </c>
      <c r="R12" s="18"/>
      <c r="S12" s="30">
        <f t="shared" si="0"/>
        <v>10.419999999999998</v>
      </c>
      <c r="T12" s="30">
        <v>6</v>
      </c>
      <c r="U12" s="30">
        <f t="shared" si="4"/>
        <v>0.20000000000000284</v>
      </c>
      <c r="V12" s="30">
        <f t="shared" si="14"/>
        <v>0.17084548104956512</v>
      </c>
      <c r="W12" s="30">
        <f t="shared" si="5"/>
        <v>2.9154518950437719E-2</v>
      </c>
      <c r="X12" s="30">
        <f>V12+V11+V10+V9+V8+V7+V6</f>
        <v>4.2711370262390664</v>
      </c>
      <c r="Y12" s="30">
        <f t="shared" si="6"/>
        <v>2.668862973760934</v>
      </c>
      <c r="Z12" s="30">
        <f t="shared" si="7"/>
        <v>10.449154518950436</v>
      </c>
      <c r="AA12" s="31">
        <f t="shared" si="8"/>
        <v>0.25612888423809349</v>
      </c>
      <c r="AC12" s="18"/>
      <c r="AD12" s="18"/>
      <c r="AE12" s="24"/>
      <c r="AF12" s="25"/>
      <c r="AG12" s="19">
        <v>10</v>
      </c>
      <c r="AH12" s="19">
        <f t="shared" si="9"/>
        <v>0</v>
      </c>
      <c r="AI12" s="19">
        <f t="shared" si="1"/>
        <v>76</v>
      </c>
      <c r="AJ12" s="21">
        <v>0.28699999999999998</v>
      </c>
      <c r="AK12" s="19">
        <f t="shared" si="10"/>
        <v>4.9141345399999994E-2</v>
      </c>
      <c r="AL12" s="19">
        <f t="shared" si="11"/>
        <v>7.7521370262390663</v>
      </c>
      <c r="AM12" s="19">
        <f t="shared" si="12"/>
        <v>212.04140658306028</v>
      </c>
      <c r="AN12" s="19">
        <f t="shared" si="2"/>
        <v>157.75182716586892</v>
      </c>
      <c r="AO12" s="19">
        <f t="shared" si="13"/>
        <v>0.3443188998886651</v>
      </c>
      <c r="AP12" s="19">
        <f t="shared" si="3"/>
        <v>212.04140658306028</v>
      </c>
      <c r="AQ12" s="37"/>
    </row>
    <row r="13" spans="2:43" x14ac:dyDescent="0.25">
      <c r="B13" s="3" t="s">
        <v>15</v>
      </c>
      <c r="C13" s="5">
        <v>23.1</v>
      </c>
      <c r="D13" s="2">
        <v>14</v>
      </c>
      <c r="E13" s="2">
        <v>14</v>
      </c>
      <c r="F13" s="2">
        <v>14</v>
      </c>
      <c r="G13" s="2">
        <v>20</v>
      </c>
      <c r="H13" s="2">
        <v>3.7</v>
      </c>
      <c r="I13" s="2">
        <v>1</v>
      </c>
      <c r="J13" s="2">
        <v>0</v>
      </c>
      <c r="K13" s="2">
        <v>5.7</v>
      </c>
      <c r="L13" s="2">
        <v>0</v>
      </c>
      <c r="M13" s="2">
        <v>0</v>
      </c>
      <c r="N13" s="2">
        <v>33.1</v>
      </c>
      <c r="O13" s="2">
        <v>300</v>
      </c>
      <c r="P13" s="4">
        <v>0.31597222222222221</v>
      </c>
      <c r="R13" s="18"/>
      <c r="S13" s="30">
        <f t="shared" si="0"/>
        <v>10.120000000000001</v>
      </c>
      <c r="T13" s="30">
        <v>7</v>
      </c>
      <c r="U13" s="30">
        <f t="shared" si="4"/>
        <v>0.29999999999999716</v>
      </c>
      <c r="V13" s="30">
        <f t="shared" si="14"/>
        <v>0.25626822157434159</v>
      </c>
      <c r="W13" s="30">
        <f t="shared" si="5"/>
        <v>4.3731778425655565E-2</v>
      </c>
      <c r="X13" s="30">
        <f>V13+V12+V11+V10+V9+V8+V7+V6</f>
        <v>4.5274052478134079</v>
      </c>
      <c r="Y13" s="30">
        <f t="shared" si="6"/>
        <v>2.4125947521865925</v>
      </c>
      <c r="Z13" s="30">
        <f t="shared" si="7"/>
        <v>10.163731778425657</v>
      </c>
      <c r="AA13" s="31">
        <f t="shared" si="8"/>
        <v>0.23839869092752888</v>
      </c>
      <c r="AC13" s="18"/>
      <c r="AD13" s="18"/>
      <c r="AE13" s="24"/>
      <c r="AF13" s="25"/>
      <c r="AG13" s="19">
        <v>10</v>
      </c>
      <c r="AH13" s="19">
        <f t="shared" si="9"/>
        <v>0</v>
      </c>
      <c r="AI13" s="19">
        <f t="shared" si="1"/>
        <v>76</v>
      </c>
      <c r="AJ13" s="21">
        <v>0.28699999999999998</v>
      </c>
      <c r="AK13" s="19">
        <f t="shared" si="10"/>
        <v>4.9141345399999994E-2</v>
      </c>
      <c r="AL13" s="19">
        <f t="shared" si="11"/>
        <v>7.7084052478134106</v>
      </c>
      <c r="AM13" s="19">
        <f t="shared" si="12"/>
        <v>205.93656762193578</v>
      </c>
      <c r="AN13" s="19">
        <f t="shared" si="2"/>
        <v>156.86190894996153</v>
      </c>
      <c r="AO13" s="19">
        <f t="shared" si="13"/>
        <v>0.31302295320089024</v>
      </c>
      <c r="AP13" s="19">
        <f t="shared" si="3"/>
        <v>205.93656762193578</v>
      </c>
      <c r="AQ13" s="37"/>
    </row>
    <row r="14" spans="2:43" x14ac:dyDescent="0.25">
      <c r="B14" s="3" t="s">
        <v>16</v>
      </c>
      <c r="C14" s="5">
        <v>22.5</v>
      </c>
      <c r="D14" s="2">
        <v>14</v>
      </c>
      <c r="E14" s="2">
        <v>14</v>
      </c>
      <c r="F14" s="2">
        <v>14</v>
      </c>
      <c r="G14" s="2">
        <v>20</v>
      </c>
      <c r="H14" s="2">
        <v>5.6</v>
      </c>
      <c r="I14" s="2">
        <v>0</v>
      </c>
      <c r="J14" s="2">
        <v>0</v>
      </c>
      <c r="K14" s="2">
        <v>5.7</v>
      </c>
      <c r="L14" s="2">
        <v>0</v>
      </c>
      <c r="M14" s="2">
        <v>0</v>
      </c>
      <c r="N14" s="2">
        <v>32.9</v>
      </c>
      <c r="O14" s="2">
        <v>200</v>
      </c>
      <c r="P14" s="4">
        <v>0.31944444444444448</v>
      </c>
      <c r="R14" s="18"/>
      <c r="S14" s="30">
        <f t="shared" si="0"/>
        <v>9.9199999999999982</v>
      </c>
      <c r="T14" s="30">
        <v>8</v>
      </c>
      <c r="U14" s="30">
        <f t="shared" si="4"/>
        <v>0.20000000000000284</v>
      </c>
      <c r="V14" s="30">
        <f t="shared" si="14"/>
        <v>0.17084548104956512</v>
      </c>
      <c r="W14" s="30">
        <f t="shared" si="5"/>
        <v>2.9154518950437719E-2</v>
      </c>
      <c r="X14" s="30">
        <f>V14+V13+V12+V11+V10+V9+V8+V7+V6</f>
        <v>4.6982507288629733</v>
      </c>
      <c r="Y14" s="30">
        <f t="shared" si="6"/>
        <v>2.241749271137027</v>
      </c>
      <c r="Z14" s="30">
        <f t="shared" si="7"/>
        <v>9.9491545189504365</v>
      </c>
      <c r="AA14" s="31">
        <f t="shared" si="8"/>
        <v>0.22598278942913583</v>
      </c>
      <c r="AC14" s="18"/>
      <c r="AD14" s="18"/>
      <c r="AE14" s="24"/>
      <c r="AF14" s="25"/>
      <c r="AG14" s="19">
        <v>10</v>
      </c>
      <c r="AH14" s="19">
        <f t="shared" si="9"/>
        <v>0</v>
      </c>
      <c r="AI14" s="19">
        <f t="shared" si="1"/>
        <v>76</v>
      </c>
      <c r="AJ14" s="21">
        <v>0.28699999999999998</v>
      </c>
      <c r="AK14" s="19">
        <f t="shared" si="10"/>
        <v>4.9141345399999994E-2</v>
      </c>
      <c r="AL14" s="19">
        <f t="shared" si="11"/>
        <v>7.6792507288629732</v>
      </c>
      <c r="AM14" s="19">
        <f t="shared" si="12"/>
        <v>201.86667498118598</v>
      </c>
      <c r="AN14" s="19">
        <f t="shared" si="2"/>
        <v>156.26863013935662</v>
      </c>
      <c r="AO14" s="19">
        <f t="shared" si="13"/>
        <v>0.29196093619477248</v>
      </c>
      <c r="AP14" s="19">
        <f t="shared" si="3"/>
        <v>201.86667498118598</v>
      </c>
      <c r="AQ14" s="37"/>
    </row>
    <row r="15" spans="2:43" x14ac:dyDescent="0.25">
      <c r="B15" s="3" t="s">
        <v>17</v>
      </c>
      <c r="C15" s="5">
        <v>30.5</v>
      </c>
      <c r="D15" s="2">
        <v>14</v>
      </c>
      <c r="E15" s="2">
        <v>14</v>
      </c>
      <c r="F15" s="2">
        <v>14</v>
      </c>
      <c r="G15" s="2">
        <v>20</v>
      </c>
      <c r="H15" s="2">
        <v>3.9</v>
      </c>
      <c r="I15" s="2">
        <v>0</v>
      </c>
      <c r="J15" s="2">
        <v>0</v>
      </c>
      <c r="K15" s="2">
        <v>5.6</v>
      </c>
      <c r="L15" s="2">
        <v>0</v>
      </c>
      <c r="M15" s="2">
        <v>0</v>
      </c>
      <c r="N15" s="2">
        <v>32.6</v>
      </c>
      <c r="O15" s="2">
        <v>300</v>
      </c>
      <c r="P15" s="4">
        <v>0.32083333333333336</v>
      </c>
      <c r="R15" s="18"/>
      <c r="S15" s="30">
        <f t="shared" si="0"/>
        <v>9.620000000000001</v>
      </c>
      <c r="T15" s="30">
        <v>9</v>
      </c>
      <c r="U15" s="30">
        <f t="shared" si="4"/>
        <v>0.29999999999999716</v>
      </c>
      <c r="V15" s="30">
        <f t="shared" si="14"/>
        <v>0.25626822157434159</v>
      </c>
      <c r="W15" s="30">
        <f t="shared" si="5"/>
        <v>4.3731778425655565E-2</v>
      </c>
      <c r="X15" s="30">
        <f>V15+V14+V13+V12+V11+V10+V9+V8+V7+V6</f>
        <v>4.9545189504373148</v>
      </c>
      <c r="Y15" s="30">
        <f t="shared" si="6"/>
        <v>1.9854810495626856</v>
      </c>
      <c r="Z15" s="30">
        <f t="shared" si="7"/>
        <v>9.6637317784256567</v>
      </c>
      <c r="AA15" s="31">
        <f t="shared" si="8"/>
        <v>0.20639096149300262</v>
      </c>
      <c r="AC15" s="18"/>
      <c r="AD15" s="18"/>
      <c r="AE15" s="24"/>
      <c r="AF15" s="25"/>
      <c r="AG15" s="19">
        <v>10</v>
      </c>
      <c r="AH15" s="19">
        <f t="shared" si="9"/>
        <v>0</v>
      </c>
      <c r="AI15" s="19">
        <f t="shared" si="1"/>
        <v>76</v>
      </c>
      <c r="AJ15" s="21">
        <v>0.28699999999999998</v>
      </c>
      <c r="AK15" s="19">
        <f t="shared" si="10"/>
        <v>4.9141345399999994E-2</v>
      </c>
      <c r="AL15" s="19">
        <f t="shared" si="11"/>
        <v>7.6355189504373175</v>
      </c>
      <c r="AM15" s="19">
        <f t="shared" si="12"/>
        <v>195.76183602006148</v>
      </c>
      <c r="AN15" s="19">
        <f t="shared" si="2"/>
        <v>155.37871192344926</v>
      </c>
      <c r="AO15" s="19">
        <f t="shared" si="13"/>
        <v>0.26006629395411407</v>
      </c>
      <c r="AP15" s="19">
        <f t="shared" si="3"/>
        <v>195.76183602006148</v>
      </c>
      <c r="AQ15" s="37"/>
    </row>
    <row r="16" spans="2:43" x14ac:dyDescent="0.25">
      <c r="B16" s="3" t="s">
        <v>18</v>
      </c>
      <c r="C16" s="5">
        <v>31</v>
      </c>
      <c r="D16" s="2">
        <v>14</v>
      </c>
      <c r="E16" s="2">
        <v>14</v>
      </c>
      <c r="F16" s="2">
        <v>14</v>
      </c>
      <c r="G16" s="2">
        <v>20</v>
      </c>
      <c r="H16" s="2">
        <v>7.8</v>
      </c>
      <c r="I16" s="2">
        <v>1</v>
      </c>
      <c r="J16" s="2">
        <v>0</v>
      </c>
      <c r="K16" s="2">
        <v>5.6</v>
      </c>
      <c r="L16" s="2">
        <v>0</v>
      </c>
      <c r="M16" s="2">
        <v>0</v>
      </c>
      <c r="N16" s="2">
        <v>32.4</v>
      </c>
      <c r="O16" s="2">
        <v>200</v>
      </c>
      <c r="P16" s="4">
        <v>0.32291666666666669</v>
      </c>
      <c r="R16" s="18"/>
      <c r="S16" s="30">
        <f t="shared" si="0"/>
        <v>9.4199999999999982</v>
      </c>
      <c r="T16" s="30">
        <v>10</v>
      </c>
      <c r="U16" s="30">
        <f t="shared" si="4"/>
        <v>0.20000000000000284</v>
      </c>
      <c r="V16" s="30">
        <f t="shared" si="14"/>
        <v>0.17084548104956512</v>
      </c>
      <c r="W16" s="30">
        <f t="shared" si="5"/>
        <v>2.9154518950437719E-2</v>
      </c>
      <c r="X16" s="30">
        <f>V16+V15+V14+V13+V12+V11+V10+V9+V8+V7+V6</f>
        <v>5.1253644314868803</v>
      </c>
      <c r="Y16" s="30">
        <f t="shared" si="6"/>
        <v>1.8146355685131201</v>
      </c>
      <c r="Z16" s="30">
        <f t="shared" si="7"/>
        <v>9.4491545189504365</v>
      </c>
      <c r="AA16" s="31">
        <f t="shared" si="8"/>
        <v>0.19263647224130792</v>
      </c>
      <c r="AC16" s="18"/>
      <c r="AD16" s="18"/>
      <c r="AE16" s="24"/>
      <c r="AF16" s="25"/>
      <c r="AG16" s="19">
        <v>10</v>
      </c>
      <c r="AH16" s="19">
        <f t="shared" si="9"/>
        <v>0</v>
      </c>
      <c r="AI16" s="19">
        <f t="shared" si="1"/>
        <v>76</v>
      </c>
      <c r="AJ16" s="21">
        <v>0.28699999999999998</v>
      </c>
      <c r="AK16" s="19">
        <f t="shared" si="10"/>
        <v>4.9141345399999994E-2</v>
      </c>
      <c r="AL16" s="19">
        <f t="shared" si="11"/>
        <v>7.6063644314868801</v>
      </c>
      <c r="AM16" s="19">
        <f t="shared" si="12"/>
        <v>191.69194337931168</v>
      </c>
      <c r="AN16" s="19">
        <f t="shared" si="2"/>
        <v>154.78543311284434</v>
      </c>
      <c r="AO16" s="19">
        <f t="shared" si="13"/>
        <v>0.23859942345436719</v>
      </c>
      <c r="AP16" s="19">
        <f t="shared" si="3"/>
        <v>191.69194337931168</v>
      </c>
      <c r="AQ16" s="37"/>
    </row>
    <row r="17" spans="1:43" x14ac:dyDescent="0.25">
      <c r="B17" s="6" t="s">
        <v>19</v>
      </c>
      <c r="C17" s="5">
        <v>32.9</v>
      </c>
      <c r="D17" s="2">
        <v>14</v>
      </c>
      <c r="E17" s="2">
        <v>14</v>
      </c>
      <c r="F17" s="2">
        <v>14</v>
      </c>
      <c r="G17" s="2">
        <v>20</v>
      </c>
      <c r="H17" s="2">
        <v>4.5999999999999996</v>
      </c>
      <c r="I17" s="2">
        <v>1</v>
      </c>
      <c r="J17" s="2">
        <v>0</v>
      </c>
      <c r="K17" s="2">
        <v>5.6</v>
      </c>
      <c r="L17" s="2">
        <v>0</v>
      </c>
      <c r="M17" s="2">
        <v>0</v>
      </c>
      <c r="N17" s="2">
        <v>32</v>
      </c>
      <c r="O17" s="2">
        <v>400</v>
      </c>
      <c r="P17" s="4">
        <v>0.3125</v>
      </c>
      <c r="R17" s="18"/>
      <c r="S17" s="30">
        <f t="shared" si="0"/>
        <v>9.02</v>
      </c>
      <c r="T17" s="30">
        <v>11</v>
      </c>
      <c r="U17" s="30">
        <f t="shared" si="4"/>
        <v>0.39999999999999858</v>
      </c>
      <c r="V17" s="30">
        <f t="shared" si="14"/>
        <v>0.34169096209912414</v>
      </c>
      <c r="W17" s="30">
        <f t="shared" si="5"/>
        <v>5.8309037900874439E-2</v>
      </c>
      <c r="X17" s="30">
        <f>V17+V16+V15+V14+V13+V12+V11+V10+V9+V8+V7+V6</f>
        <v>5.467055393586004</v>
      </c>
      <c r="Y17" s="30">
        <f t="shared" si="6"/>
        <v>1.4729446064139964</v>
      </c>
      <c r="Z17" s="30">
        <f t="shared" si="7"/>
        <v>9.0783090379008744</v>
      </c>
      <c r="AA17" s="31">
        <f t="shared" si="8"/>
        <v>0.16329762820554283</v>
      </c>
      <c r="AC17" s="18"/>
      <c r="AD17" s="18"/>
      <c r="AE17" s="24"/>
      <c r="AF17" s="25"/>
      <c r="AG17" s="19">
        <v>10</v>
      </c>
      <c r="AH17" s="19">
        <f t="shared" si="9"/>
        <v>0</v>
      </c>
      <c r="AI17" s="19">
        <f t="shared" si="1"/>
        <v>76</v>
      </c>
      <c r="AJ17" s="21">
        <v>0.28699999999999998</v>
      </c>
      <c r="AK17" s="19">
        <f t="shared" si="10"/>
        <v>4.9141345399999994E-2</v>
      </c>
      <c r="AL17" s="19">
        <f t="shared" si="11"/>
        <v>7.5480553935860053</v>
      </c>
      <c r="AM17" s="19">
        <f t="shared" si="12"/>
        <v>183.55215809781228</v>
      </c>
      <c r="AN17" s="19">
        <f t="shared" si="2"/>
        <v>153.59887549163452</v>
      </c>
      <c r="AO17" s="19">
        <f t="shared" si="13"/>
        <v>0.19516811916682153</v>
      </c>
      <c r="AP17" s="19">
        <f t="shared" si="3"/>
        <v>183.55215809781228</v>
      </c>
      <c r="AQ17" s="37"/>
    </row>
    <row r="18" spans="1:43" x14ac:dyDescent="0.25">
      <c r="B18" s="3" t="s">
        <v>20</v>
      </c>
      <c r="C18" s="5">
        <v>26.2</v>
      </c>
      <c r="D18" s="2">
        <v>15</v>
      </c>
      <c r="E18" s="2">
        <v>15</v>
      </c>
      <c r="F18" s="2">
        <v>15</v>
      </c>
      <c r="G18" s="2">
        <v>20</v>
      </c>
      <c r="H18" s="2">
        <v>5.5</v>
      </c>
      <c r="I18" s="2">
        <v>1</v>
      </c>
      <c r="J18" s="2">
        <v>0</v>
      </c>
      <c r="K18" s="2">
        <v>5.6</v>
      </c>
      <c r="L18" s="2">
        <v>0</v>
      </c>
      <c r="M18" s="2">
        <v>0</v>
      </c>
      <c r="N18" s="2">
        <v>31.7</v>
      </c>
      <c r="O18" s="2">
        <v>300</v>
      </c>
      <c r="P18" s="4">
        <v>0.31180555555555556</v>
      </c>
      <c r="R18" s="18"/>
      <c r="S18" s="30">
        <f t="shared" si="0"/>
        <v>8.7199999999999989</v>
      </c>
      <c r="T18" s="30">
        <v>12</v>
      </c>
      <c r="U18" s="30">
        <f t="shared" si="4"/>
        <v>0.30000000000000071</v>
      </c>
      <c r="V18" s="30">
        <f t="shared" si="14"/>
        <v>0.25626822157434465</v>
      </c>
      <c r="W18" s="30">
        <f t="shared" si="5"/>
        <v>4.3731778425656065E-2</v>
      </c>
      <c r="X18" s="30">
        <f>V18+V17+V16+V15+V14+V13+V12+V11+V10+V9+V8+V7+V6</f>
        <v>5.723323615160349</v>
      </c>
      <c r="Y18" s="30">
        <f t="shared" si="6"/>
        <v>1.2166763848396513</v>
      </c>
      <c r="Z18" s="30">
        <f t="shared" si="7"/>
        <v>8.7637317784256545</v>
      </c>
      <c r="AA18" s="31">
        <f t="shared" si="8"/>
        <v>0.13952710835317103</v>
      </c>
      <c r="AC18" s="18"/>
      <c r="AD18" s="18"/>
      <c r="AE18" s="24"/>
      <c r="AF18" s="25"/>
      <c r="AG18" s="19">
        <v>11</v>
      </c>
      <c r="AH18" s="19">
        <f t="shared" si="9"/>
        <v>1</v>
      </c>
      <c r="AI18" s="19">
        <f t="shared" si="1"/>
        <v>75</v>
      </c>
      <c r="AJ18" s="21">
        <v>0.28699999999999998</v>
      </c>
      <c r="AK18" s="19">
        <f t="shared" si="10"/>
        <v>4.8494748749999997E-2</v>
      </c>
      <c r="AL18" s="19">
        <f t="shared" si="11"/>
        <v>7.5043236151603496</v>
      </c>
      <c r="AM18" s="19">
        <f t="shared" si="12"/>
        <v>179.81328339184353</v>
      </c>
      <c r="AN18" s="19">
        <f t="shared" si="2"/>
        <v>154.74507670607017</v>
      </c>
      <c r="AO18" s="19">
        <f t="shared" si="13"/>
        <v>0.162151660682924</v>
      </c>
      <c r="AP18" s="19">
        <f t="shared" si="3"/>
        <v>179.81328339184353</v>
      </c>
      <c r="AQ18" s="37"/>
    </row>
    <row r="19" spans="1:43" x14ac:dyDescent="0.25">
      <c r="B19" s="3" t="s">
        <v>21</v>
      </c>
      <c r="C19" s="5">
        <v>25.2</v>
      </c>
      <c r="D19" s="2">
        <v>15</v>
      </c>
      <c r="E19" s="2">
        <v>15</v>
      </c>
      <c r="F19" s="2">
        <v>15</v>
      </c>
      <c r="G19" s="2">
        <v>20</v>
      </c>
      <c r="H19" s="2">
        <v>23.2</v>
      </c>
      <c r="I19" s="2">
        <v>2</v>
      </c>
      <c r="J19" s="2">
        <v>0</v>
      </c>
      <c r="K19" s="2">
        <v>5.6</v>
      </c>
      <c r="L19" s="2">
        <v>0</v>
      </c>
      <c r="M19" s="2">
        <v>0</v>
      </c>
      <c r="N19" s="2">
        <v>31.4</v>
      </c>
      <c r="O19" s="2">
        <v>300</v>
      </c>
      <c r="P19" s="4">
        <v>0.30972222222222223</v>
      </c>
      <c r="R19" s="18"/>
      <c r="S19" s="30">
        <f t="shared" si="0"/>
        <v>8.4199999999999982</v>
      </c>
      <c r="T19" s="30">
        <v>13</v>
      </c>
      <c r="U19" s="30">
        <f t="shared" si="4"/>
        <v>0.30000000000000071</v>
      </c>
      <c r="V19" s="30">
        <f t="shared" si="14"/>
        <v>0.25626822157434465</v>
      </c>
      <c r="W19" s="30">
        <f t="shared" si="5"/>
        <v>4.3731778425656065E-2</v>
      </c>
      <c r="X19" s="30">
        <f>V19+V18+V17+V16+V15+V14+V13+V12+V11+V10+V9+V8+V7+V6</f>
        <v>5.9795918367346941</v>
      </c>
      <c r="Y19" s="30">
        <f t="shared" si="6"/>
        <v>0.96040816326530631</v>
      </c>
      <c r="Z19" s="30">
        <f t="shared" si="7"/>
        <v>8.4637317784256538</v>
      </c>
      <c r="AA19" s="31">
        <f t="shared" si="8"/>
        <v>0.11406272722865873</v>
      </c>
      <c r="AC19" s="18"/>
      <c r="AD19" s="18"/>
      <c r="AE19" s="44" t="s">
        <v>310</v>
      </c>
      <c r="AF19" s="27">
        <v>1610</v>
      </c>
      <c r="AG19" s="19">
        <v>11</v>
      </c>
      <c r="AH19" s="19">
        <f t="shared" si="9"/>
        <v>0</v>
      </c>
      <c r="AI19" s="19">
        <f t="shared" si="1"/>
        <v>76</v>
      </c>
      <c r="AJ19" s="21">
        <v>0.28699999999999998</v>
      </c>
      <c r="AK19" s="19">
        <f t="shared" si="10"/>
        <v>4.9141345399999994E-2</v>
      </c>
      <c r="AL19" s="19">
        <f t="shared" si="11"/>
        <v>7.4605918367346939</v>
      </c>
      <c r="AM19" s="19">
        <f t="shared" si="12"/>
        <v>171.34248017556311</v>
      </c>
      <c r="AN19" s="19">
        <f t="shared" si="2"/>
        <v>151.81903905981977</v>
      </c>
      <c r="AO19" s="19">
        <f t="shared" si="13"/>
        <v>0.12874808492011389</v>
      </c>
      <c r="AP19" s="19">
        <f t="shared" si="3"/>
        <v>171.34248017556311</v>
      </c>
      <c r="AQ19" s="37"/>
    </row>
    <row r="20" spans="1:43" x14ac:dyDescent="0.25">
      <c r="O20" s="20"/>
      <c r="AQ20" s="35"/>
    </row>
    <row r="21" spans="1:43" x14ac:dyDescent="0.25">
      <c r="B21" s="63" t="s">
        <v>303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S21" s="63" t="s">
        <v>305</v>
      </c>
      <c r="T21" s="63"/>
      <c r="U21" s="63"/>
      <c r="V21" s="63"/>
      <c r="W21" s="63"/>
      <c r="X21" s="63"/>
      <c r="Y21" s="63"/>
      <c r="Z21" s="63"/>
      <c r="AA21" s="63"/>
      <c r="AG21" s="63" t="s">
        <v>305</v>
      </c>
      <c r="AH21" s="63"/>
      <c r="AI21" s="63"/>
      <c r="AJ21" s="63"/>
      <c r="AK21" s="63"/>
      <c r="AL21" s="63"/>
      <c r="AM21" s="63"/>
      <c r="AN21" s="63"/>
      <c r="AO21" s="63"/>
      <c r="AP21" s="63"/>
      <c r="AQ21" s="35"/>
    </row>
    <row r="22" spans="1:43" x14ac:dyDescent="0.25">
      <c r="AQ22" s="35"/>
    </row>
    <row r="23" spans="1:43" x14ac:dyDescent="0.25">
      <c r="S23" t="s">
        <v>313</v>
      </c>
      <c r="X23" s="8">
        <v>6.94</v>
      </c>
      <c r="AQ23" s="35"/>
    </row>
    <row r="24" spans="1:43" x14ac:dyDescent="0.25">
      <c r="S24" t="s">
        <v>312</v>
      </c>
      <c r="X24" s="8">
        <v>0.83099999999999996</v>
      </c>
      <c r="AQ24" s="35"/>
    </row>
    <row r="25" spans="1:43" x14ac:dyDescent="0.25">
      <c r="S25" t="s">
        <v>311</v>
      </c>
      <c r="X25" s="8">
        <f>S6-S19</f>
        <v>7</v>
      </c>
      <c r="AQ25" s="35"/>
    </row>
    <row r="26" spans="1:43" x14ac:dyDescent="0.25">
      <c r="S26" t="s">
        <v>314</v>
      </c>
      <c r="X26" s="8">
        <f>X23-X24</f>
        <v>6.109</v>
      </c>
      <c r="AQ26" s="35"/>
    </row>
    <row r="27" spans="1:43" x14ac:dyDescent="0.25">
      <c r="S27" t="s">
        <v>315</v>
      </c>
      <c r="X27" s="8">
        <f>X25-X26</f>
        <v>0.89100000000000001</v>
      </c>
      <c r="Y27" s="8"/>
      <c r="AQ27" s="35"/>
    </row>
    <row r="28" spans="1:43" x14ac:dyDescent="0.25">
      <c r="AQ28" s="35"/>
    </row>
    <row r="29" spans="1:43" x14ac:dyDescent="0.25">
      <c r="S29" t="s">
        <v>316</v>
      </c>
      <c r="X29" s="29">
        <f>X26/X27</f>
        <v>6.8563411896745228</v>
      </c>
      <c r="AQ29" s="35"/>
    </row>
    <row r="30" spans="1:43" x14ac:dyDescent="0.25">
      <c r="AB30" s="8"/>
      <c r="AQ30" s="35"/>
    </row>
    <row r="31" spans="1:43" x14ac:dyDescent="0.25">
      <c r="AQ31" s="35"/>
    </row>
    <row r="32" spans="1:43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4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8"/>
    </row>
    <row r="34" spans="2:3" x14ac:dyDescent="0.25">
      <c r="B34" s="61" t="s">
        <v>395</v>
      </c>
    </row>
    <row r="36" spans="2:3" x14ac:dyDescent="0.25">
      <c r="B36" s="61" t="s">
        <v>397</v>
      </c>
      <c r="C36" t="s">
        <v>390</v>
      </c>
    </row>
    <row r="37" spans="2:3" x14ac:dyDescent="0.25">
      <c r="B37" s="61" t="s">
        <v>392</v>
      </c>
      <c r="C37" s="62" t="s">
        <v>393</v>
      </c>
    </row>
    <row r="40" spans="2:3" x14ac:dyDescent="0.25">
      <c r="B40" s="61" t="s">
        <v>396</v>
      </c>
      <c r="C40" s="60" t="s">
        <v>391</v>
      </c>
    </row>
    <row r="41" spans="2:3" x14ac:dyDescent="0.25">
      <c r="B41" s="61" t="s">
        <v>389</v>
      </c>
      <c r="C41" s="62" t="s">
        <v>394</v>
      </c>
    </row>
    <row r="156" spans="44:44" x14ac:dyDescent="0.25">
      <c r="AR156" s="7"/>
    </row>
    <row r="157" spans="44:44" x14ac:dyDescent="0.25">
      <c r="AR157" s="7"/>
    </row>
    <row r="253" spans="44:44" x14ac:dyDescent="0.25">
      <c r="AR253" s="7"/>
    </row>
    <row r="254" spans="44:44" x14ac:dyDescent="0.25">
      <c r="AR254" s="7"/>
    </row>
    <row r="346" spans="44:44" x14ac:dyDescent="0.25">
      <c r="AR346" s="7"/>
    </row>
    <row r="347" spans="44:44" x14ac:dyDescent="0.25">
      <c r="AR347" s="7"/>
    </row>
    <row r="410" spans="48:48" x14ac:dyDescent="0.25">
      <c r="AV410" s="7"/>
    </row>
    <row r="444" spans="44:44" x14ac:dyDescent="0.25">
      <c r="AR444" s="7"/>
    </row>
    <row r="445" spans="44:44" x14ac:dyDescent="0.25">
      <c r="AR445" s="7"/>
    </row>
    <row r="539" spans="44:44" x14ac:dyDescent="0.25">
      <c r="AR539" s="7"/>
    </row>
    <row r="540" spans="44:44" x14ac:dyDescent="0.25">
      <c r="AR540" s="7"/>
    </row>
    <row r="554" spans="48:48" x14ac:dyDescent="0.25">
      <c r="AV554" s="7"/>
    </row>
    <row r="634" spans="44:44" x14ac:dyDescent="0.25">
      <c r="AR634" s="7"/>
    </row>
    <row r="635" spans="44:44" x14ac:dyDescent="0.25">
      <c r="AR635" s="7"/>
    </row>
    <row r="684" spans="48:48" x14ac:dyDescent="0.25">
      <c r="AV684" s="7"/>
    </row>
    <row r="728" spans="44:44" x14ac:dyDescent="0.25">
      <c r="AR728" s="7"/>
    </row>
    <row r="729" spans="44:44" x14ac:dyDescent="0.25">
      <c r="AR729" s="7"/>
    </row>
    <row r="824" spans="44:44" x14ac:dyDescent="0.25">
      <c r="AR824" s="7"/>
    </row>
    <row r="825" spans="44:44" x14ac:dyDescent="0.25">
      <c r="AR825" s="7"/>
    </row>
    <row r="920" spans="44:44" x14ac:dyDescent="0.25">
      <c r="AR920" s="7"/>
    </row>
    <row r="921" spans="44:44" x14ac:dyDescent="0.25">
      <c r="AR921" s="7"/>
    </row>
    <row r="1013" spans="44:44" x14ac:dyDescent="0.25">
      <c r="AR1013" s="7"/>
    </row>
    <row r="1014" spans="44:44" x14ac:dyDescent="0.25">
      <c r="AR1014" s="7"/>
    </row>
    <row r="1106" spans="44:44" x14ac:dyDescent="0.25">
      <c r="AR1106" s="7"/>
    </row>
    <row r="1107" spans="44:44" x14ac:dyDescent="0.25">
      <c r="AR1107" s="7"/>
    </row>
    <row r="1108" spans="44:44" x14ac:dyDescent="0.25">
      <c r="AR1108" s="7"/>
    </row>
    <row r="1109" spans="44:44" x14ac:dyDescent="0.25">
      <c r="AR1109" s="7"/>
    </row>
    <row r="1110" spans="44:44" x14ac:dyDescent="0.25">
      <c r="AR1110" s="7"/>
    </row>
  </sheetData>
  <mergeCells count="3">
    <mergeCell ref="B21:P21"/>
    <mergeCell ref="S21:AA21"/>
    <mergeCell ref="AG21:AP21"/>
  </mergeCells>
  <phoneticPr fontId="7" type="noConversion"/>
  <hyperlinks>
    <hyperlink ref="C41" r:id="rId1" display="https://link.springer.com/article/10.1007/s11356-024-32736-w" xr:uid="{238F2B09-8865-4B74-A9A6-D50089FFE681}"/>
    <hyperlink ref="C37" r:id="rId2" xr:uid="{090E6714-385F-47E1-B6F4-5E37F9B6D4AA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EA167-300E-4B75-9FB3-FD66B62DE384}">
  <dimension ref="A1:AW2179"/>
  <sheetViews>
    <sheetView zoomScale="55" zoomScaleNormal="55" workbookViewId="0">
      <selection activeCell="P26" sqref="P26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4.710937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</cols>
  <sheetData>
    <row r="1" spans="2:49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9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9" x14ac:dyDescent="0.25">
      <c r="L3" s="9"/>
      <c r="M3" s="10"/>
      <c r="AQ3" s="35"/>
    </row>
    <row r="4" spans="2:49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362</v>
      </c>
      <c r="W4" s="17" t="s">
        <v>363</v>
      </c>
      <c r="X4" s="17" t="s">
        <v>364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9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9" x14ac:dyDescent="0.25">
      <c r="B6" s="3" t="s">
        <v>155</v>
      </c>
      <c r="C6" s="5">
        <v>21.2</v>
      </c>
      <c r="D6" s="2">
        <v>5</v>
      </c>
      <c r="E6" s="2">
        <v>5</v>
      </c>
      <c r="F6" s="2">
        <v>5</v>
      </c>
      <c r="G6" s="2">
        <v>20</v>
      </c>
      <c r="H6" s="2">
        <v>0.1</v>
      </c>
      <c r="I6" s="2">
        <v>0</v>
      </c>
      <c r="J6" s="2">
        <v>0</v>
      </c>
      <c r="K6" s="2">
        <v>21</v>
      </c>
      <c r="L6" s="2">
        <v>0</v>
      </c>
      <c r="M6" s="2">
        <v>0</v>
      </c>
      <c r="N6" s="2">
        <v>37.799999999999997</v>
      </c>
      <c r="O6" s="2">
        <v>0</v>
      </c>
      <c r="P6" s="4">
        <v>0.4291666666666667</v>
      </c>
      <c r="Q6" s="10"/>
      <c r="R6" s="41"/>
      <c r="S6" s="30">
        <f>N6-25.114</f>
        <v>12.685999999999996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5.71</v>
      </c>
      <c r="Z6" s="30">
        <f>S6-V6</f>
        <v>12.685999999999996</v>
      </c>
      <c r="AA6" s="31">
        <f>Y6/Z6</f>
        <v>0.45010247516947827</v>
      </c>
      <c r="AC6" s="18"/>
      <c r="AD6" s="18">
        <v>1000</v>
      </c>
      <c r="AE6" s="22" t="s">
        <v>309</v>
      </c>
      <c r="AF6" s="23">
        <v>1560</v>
      </c>
      <c r="AG6" s="19">
        <v>0</v>
      </c>
      <c r="AH6" s="19">
        <v>0</v>
      </c>
      <c r="AI6" s="19">
        <f t="shared" ref="AI6:AI20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6.976</v>
      </c>
      <c r="AM6" s="19">
        <f>S6/AK6</f>
        <v>258.15329020275453</v>
      </c>
      <c r="AN6" s="19">
        <f t="shared" ref="AN6:AN20" si="1">AL6/AK6</f>
        <v>141.95785530935018</v>
      </c>
      <c r="AO6" s="19">
        <f>(AA6/(1-AA6))</f>
        <v>0.81852064220183507</v>
      </c>
      <c r="AP6" s="19">
        <f t="shared" ref="AP6:AP20" si="2">AM6/(1+AQ6)</f>
        <v>258.15329020275453</v>
      </c>
      <c r="AQ6" s="35"/>
      <c r="AS6" s="10"/>
      <c r="AT6" s="10"/>
      <c r="AU6" s="10"/>
      <c r="AV6" s="48"/>
      <c r="AW6" s="10"/>
    </row>
    <row r="7" spans="2:49" x14ac:dyDescent="0.25">
      <c r="B7" s="3" t="s">
        <v>156</v>
      </c>
      <c r="C7" s="5">
        <v>46</v>
      </c>
      <c r="D7" s="2">
        <v>6</v>
      </c>
      <c r="E7" s="2">
        <v>6</v>
      </c>
      <c r="F7" s="2">
        <v>6</v>
      </c>
      <c r="G7" s="2">
        <v>20</v>
      </c>
      <c r="H7" s="2">
        <v>53.4</v>
      </c>
      <c r="I7" s="2">
        <v>6</v>
      </c>
      <c r="J7" s="2">
        <v>0</v>
      </c>
      <c r="K7" s="2">
        <v>1.6</v>
      </c>
      <c r="L7" s="2">
        <v>0</v>
      </c>
      <c r="M7" s="2">
        <v>0</v>
      </c>
      <c r="N7" s="2">
        <v>36.6</v>
      </c>
      <c r="O7" s="2">
        <v>1200</v>
      </c>
      <c r="P7" s="4">
        <v>0.33333333333333331</v>
      </c>
      <c r="Q7" s="10"/>
      <c r="R7" s="41"/>
      <c r="S7" s="30">
        <f t="shared" ref="S7:S20" si="3">N7-25.114</f>
        <v>11.486000000000001</v>
      </c>
      <c r="T7" s="30">
        <v>1</v>
      </c>
      <c r="U7" s="30">
        <f t="shared" ref="U7:U20" si="4">S6-S7</f>
        <v>1.1999999999999957</v>
      </c>
      <c r="V7" s="30">
        <f>U7-(U7/7.15)</f>
        <v>1.0321678321678285</v>
      </c>
      <c r="W7" s="30">
        <f t="shared" ref="W7:W20" si="5">U7-V7</f>
        <v>0.16783216783216726</v>
      </c>
      <c r="X7" s="30">
        <f>V7+V6</f>
        <v>1.0321678321678285</v>
      </c>
      <c r="Y7" s="30">
        <f>5.71-X7</f>
        <v>4.6778321678321717</v>
      </c>
      <c r="Z7" s="30">
        <f t="shared" ref="Z7:Z20" si="6">S6-V7</f>
        <v>11.653832167832167</v>
      </c>
      <c r="AA7" s="31">
        <f t="shared" ref="AA7:AA20" si="7">Y7/Z7</f>
        <v>0.40139862154050027</v>
      </c>
      <c r="AC7" s="18"/>
      <c r="AD7" s="18"/>
      <c r="AE7" s="24"/>
      <c r="AF7" s="25"/>
      <c r="AG7" s="19">
        <v>1</v>
      </c>
      <c r="AH7" s="19">
        <f t="shared" ref="AH7:AH20" si="8">AG7-AG6</f>
        <v>1</v>
      </c>
      <c r="AI7" s="19">
        <f t="shared" si="0"/>
        <v>75</v>
      </c>
      <c r="AJ7" s="21">
        <v>0.28699999999999998</v>
      </c>
      <c r="AK7" s="19">
        <f t="shared" ref="AK7:AK20" si="9">((($AJ$6*$AJ$6)*3.14)/4)*(AI7/100)</f>
        <v>4.8494748749999997E-2</v>
      </c>
      <c r="AL7" s="19">
        <f t="shared" ref="AL7:AL20" si="10">AL6-W7</f>
        <v>6.8081678321678325</v>
      </c>
      <c r="AM7" s="19">
        <f t="shared" ref="AM7:AM20" si="11">S7/AK7</f>
        <v>236.85038681636641</v>
      </c>
      <c r="AN7" s="19">
        <f t="shared" si="1"/>
        <v>140.38979492945271</v>
      </c>
      <c r="AO7" s="19">
        <f t="shared" ref="AO7:AO20" si="12">(AA7/(1-AA7))</f>
        <v>0.67056080387502515</v>
      </c>
      <c r="AP7" s="19">
        <f t="shared" si="2"/>
        <v>236.85038681636641</v>
      </c>
      <c r="AQ7" s="35"/>
      <c r="AS7" s="10"/>
      <c r="AT7" s="10"/>
      <c r="AU7" s="10"/>
      <c r="AV7" s="48"/>
      <c r="AW7" s="10"/>
    </row>
    <row r="8" spans="2:49" x14ac:dyDescent="0.25">
      <c r="B8" s="3" t="s">
        <v>157</v>
      </c>
      <c r="C8" s="5">
        <v>37.700000000000003</v>
      </c>
      <c r="D8" s="2">
        <v>7</v>
      </c>
      <c r="E8" s="2">
        <v>7</v>
      </c>
      <c r="F8" s="2">
        <v>7</v>
      </c>
      <c r="G8" s="2">
        <v>20</v>
      </c>
      <c r="H8" s="2">
        <v>80.5</v>
      </c>
      <c r="I8" s="2">
        <v>3</v>
      </c>
      <c r="J8" s="2">
        <v>0</v>
      </c>
      <c r="K8" s="2">
        <v>1.6</v>
      </c>
      <c r="L8" s="2">
        <v>0</v>
      </c>
      <c r="M8" s="2">
        <v>0</v>
      </c>
      <c r="N8" s="2">
        <v>34.9</v>
      </c>
      <c r="O8" s="2">
        <v>1700</v>
      </c>
      <c r="P8" s="4">
        <v>0.35902777777777778</v>
      </c>
      <c r="Q8" s="10"/>
      <c r="R8" s="41"/>
      <c r="S8" s="30">
        <f t="shared" si="3"/>
        <v>9.7859999999999978</v>
      </c>
      <c r="T8" s="30">
        <v>2</v>
      </c>
      <c r="U8" s="30">
        <f t="shared" si="4"/>
        <v>1.7000000000000028</v>
      </c>
      <c r="V8" s="30">
        <f t="shared" ref="V8:V20" si="13">U8-(U8/7.15)</f>
        <v>1.4622377622377647</v>
      </c>
      <c r="W8" s="30">
        <f t="shared" si="5"/>
        <v>0.23776223776223815</v>
      </c>
      <c r="X8" s="30">
        <f>V7+V8+V6</f>
        <v>2.4944055944055932</v>
      </c>
      <c r="Y8" s="30">
        <f t="shared" ref="Y8:Y20" si="14">5.71-X8</f>
        <v>3.2155944055944068</v>
      </c>
      <c r="Z8" s="30">
        <f t="shared" si="6"/>
        <v>10.023762237762236</v>
      </c>
      <c r="AA8" s="31">
        <f t="shared" si="7"/>
        <v>0.32079715473301917</v>
      </c>
      <c r="AC8" s="18"/>
      <c r="AD8" s="18"/>
      <c r="AE8" s="24"/>
      <c r="AF8" s="25"/>
      <c r="AG8" s="19">
        <v>2</v>
      </c>
      <c r="AH8" s="19">
        <f t="shared" si="8"/>
        <v>1</v>
      </c>
      <c r="AI8" s="19">
        <f t="shared" si="0"/>
        <v>75</v>
      </c>
      <c r="AJ8" s="21">
        <v>0.28699999999999998</v>
      </c>
      <c r="AK8" s="19">
        <f t="shared" si="9"/>
        <v>4.8494748749999997E-2</v>
      </c>
      <c r="AL8" s="19">
        <f t="shared" si="10"/>
        <v>6.5704055944055941</v>
      </c>
      <c r="AM8" s="19">
        <f t="shared" si="11"/>
        <v>201.79504487070878</v>
      </c>
      <c r="AN8" s="19">
        <f t="shared" si="1"/>
        <v>135.48694990208799</v>
      </c>
      <c r="AO8" s="19">
        <f t="shared" si="12"/>
        <v>0.47231420917696587</v>
      </c>
      <c r="AP8" s="19">
        <f t="shared" si="2"/>
        <v>201.79504487070878</v>
      </c>
      <c r="AQ8" s="35"/>
      <c r="AS8" s="10"/>
      <c r="AT8" s="10"/>
      <c r="AU8" s="10"/>
      <c r="AV8" s="48"/>
      <c r="AW8" s="10"/>
    </row>
    <row r="9" spans="2:49" x14ac:dyDescent="0.25">
      <c r="B9" s="3" t="s">
        <v>158</v>
      </c>
      <c r="C9" s="5">
        <v>28.7</v>
      </c>
      <c r="D9" s="2">
        <v>7</v>
      </c>
      <c r="E9" s="2">
        <v>7</v>
      </c>
      <c r="F9" s="2">
        <v>7</v>
      </c>
      <c r="G9" s="2">
        <v>20</v>
      </c>
      <c r="H9" s="2">
        <v>24.7</v>
      </c>
      <c r="I9" s="2">
        <v>3</v>
      </c>
      <c r="J9" s="2">
        <v>0</v>
      </c>
      <c r="K9" s="2">
        <v>1.6</v>
      </c>
      <c r="L9" s="2">
        <v>0</v>
      </c>
      <c r="M9" s="2">
        <v>0</v>
      </c>
      <c r="N9" s="2">
        <v>34.200000000000003</v>
      </c>
      <c r="O9" s="2">
        <v>700</v>
      </c>
      <c r="P9" s="4">
        <v>0.32500000000000001</v>
      </c>
      <c r="Q9" s="10"/>
      <c r="R9" s="41"/>
      <c r="S9" s="30">
        <f t="shared" si="3"/>
        <v>9.0860000000000021</v>
      </c>
      <c r="T9" s="30">
        <v>3</v>
      </c>
      <c r="U9" s="30">
        <f t="shared" si="4"/>
        <v>0.69999999999999574</v>
      </c>
      <c r="V9" s="30">
        <f t="shared" si="13"/>
        <v>0.60209790209789849</v>
      </c>
      <c r="W9" s="30">
        <f t="shared" si="5"/>
        <v>9.7902097902097251E-2</v>
      </c>
      <c r="X9" s="30">
        <f>V9+V8+V7+V6</f>
        <v>3.0965034965034919</v>
      </c>
      <c r="Y9" s="30">
        <f t="shared" si="14"/>
        <v>2.6134965034965081</v>
      </c>
      <c r="Z9" s="30">
        <f t="shared" si="6"/>
        <v>9.1839020979020987</v>
      </c>
      <c r="AA9" s="31">
        <f t="shared" si="7"/>
        <v>0.28457364588996603</v>
      </c>
      <c r="AC9" s="18"/>
      <c r="AD9" s="18"/>
      <c r="AE9" s="24"/>
      <c r="AF9" s="25"/>
      <c r="AG9" s="19">
        <v>2</v>
      </c>
      <c r="AH9" s="19">
        <f t="shared" si="8"/>
        <v>0</v>
      </c>
      <c r="AI9" s="19">
        <f t="shared" si="0"/>
        <v>76</v>
      </c>
      <c r="AJ9" s="21">
        <v>0.28699999999999998</v>
      </c>
      <c r="AK9" s="19">
        <f t="shared" si="9"/>
        <v>4.9141345399999994E-2</v>
      </c>
      <c r="AL9" s="19">
        <f t="shared" si="10"/>
        <v>6.4725034965034967</v>
      </c>
      <c r="AM9" s="19">
        <f t="shared" si="11"/>
        <v>184.89522266925974</v>
      </c>
      <c r="AN9" s="19">
        <f t="shared" si="1"/>
        <v>131.71197173823199</v>
      </c>
      <c r="AO9" s="19">
        <f t="shared" si="12"/>
        <v>0.3977679103588041</v>
      </c>
      <c r="AP9" s="19">
        <f t="shared" si="2"/>
        <v>184.89522266925974</v>
      </c>
      <c r="AQ9" s="35"/>
      <c r="AS9" s="10"/>
      <c r="AT9" s="10"/>
      <c r="AU9" s="10"/>
      <c r="AV9" s="48"/>
      <c r="AW9" s="10"/>
    </row>
    <row r="10" spans="2:49" x14ac:dyDescent="0.25">
      <c r="B10" s="3" t="s">
        <v>159</v>
      </c>
      <c r="C10" s="5">
        <v>26.3</v>
      </c>
      <c r="D10" s="2">
        <v>8</v>
      </c>
      <c r="E10" s="2">
        <v>8</v>
      </c>
      <c r="F10" s="2">
        <v>8</v>
      </c>
      <c r="G10" s="2">
        <v>20</v>
      </c>
      <c r="H10" s="2">
        <v>12.5</v>
      </c>
      <c r="I10" s="2">
        <v>3</v>
      </c>
      <c r="J10" s="2">
        <v>0</v>
      </c>
      <c r="K10" s="2">
        <v>1.6</v>
      </c>
      <c r="L10" s="2">
        <v>0</v>
      </c>
      <c r="M10" s="2">
        <v>0</v>
      </c>
      <c r="N10" s="2">
        <v>33.700000000000003</v>
      </c>
      <c r="O10" s="2">
        <v>500</v>
      </c>
      <c r="P10" s="4">
        <v>0.32291666666666669</v>
      </c>
      <c r="Q10" s="10"/>
      <c r="R10" s="41"/>
      <c r="S10" s="30">
        <f t="shared" si="3"/>
        <v>8.5860000000000021</v>
      </c>
      <c r="T10" s="30">
        <v>4</v>
      </c>
      <c r="U10" s="30">
        <f t="shared" si="4"/>
        <v>0.5</v>
      </c>
      <c r="V10" s="30">
        <f t="shared" si="13"/>
        <v>0.43006993006993011</v>
      </c>
      <c r="W10" s="30">
        <f t="shared" si="5"/>
        <v>6.9930069930069894E-2</v>
      </c>
      <c r="X10" s="30">
        <f>V10+V9+V8+V7+V6</f>
        <v>3.5265734265734219</v>
      </c>
      <c r="Y10" s="30">
        <f t="shared" si="14"/>
        <v>2.1834265734265781</v>
      </c>
      <c r="Z10" s="30">
        <f t="shared" si="6"/>
        <v>8.6559300699300721</v>
      </c>
      <c r="AA10" s="31">
        <f t="shared" si="7"/>
        <v>0.2522463277529941</v>
      </c>
      <c r="AC10" s="18"/>
      <c r="AD10" s="18"/>
      <c r="AE10" s="24"/>
      <c r="AF10" s="25"/>
      <c r="AG10" s="19">
        <v>3</v>
      </c>
      <c r="AH10" s="19">
        <f t="shared" si="8"/>
        <v>1</v>
      </c>
      <c r="AI10" s="19">
        <f t="shared" si="0"/>
        <v>75</v>
      </c>
      <c r="AJ10" s="21">
        <v>0.28699999999999998</v>
      </c>
      <c r="AK10" s="19">
        <f t="shared" si="9"/>
        <v>4.8494748749999997E-2</v>
      </c>
      <c r="AL10" s="19">
        <f t="shared" si="10"/>
        <v>6.4025734265734267</v>
      </c>
      <c r="AM10" s="19">
        <f t="shared" si="11"/>
        <v>177.05009761495057</v>
      </c>
      <c r="AN10" s="19">
        <f t="shared" si="1"/>
        <v>132.02611811806588</v>
      </c>
      <c r="AO10" s="19">
        <f t="shared" si="12"/>
        <v>0.33733880168718106</v>
      </c>
      <c r="AP10" s="19">
        <f t="shared" si="2"/>
        <v>177.05009761495057</v>
      </c>
      <c r="AQ10" s="35"/>
      <c r="AS10" s="10"/>
      <c r="AT10" s="10"/>
      <c r="AU10" s="10"/>
      <c r="AV10" s="48"/>
      <c r="AW10" s="10"/>
    </row>
    <row r="11" spans="2:49" x14ac:dyDescent="0.25">
      <c r="B11" s="3" t="s">
        <v>160</v>
      </c>
      <c r="C11" s="5">
        <v>23.7</v>
      </c>
      <c r="D11" s="2">
        <v>8</v>
      </c>
      <c r="E11" s="2">
        <v>8</v>
      </c>
      <c r="F11" s="2">
        <v>8</v>
      </c>
      <c r="G11" s="2">
        <v>20</v>
      </c>
      <c r="H11" s="2">
        <v>8.1999999999999993</v>
      </c>
      <c r="I11" s="2">
        <v>5</v>
      </c>
      <c r="J11" s="2">
        <v>0</v>
      </c>
      <c r="K11" s="2">
        <v>1.6</v>
      </c>
      <c r="L11" s="2">
        <v>0</v>
      </c>
      <c r="M11" s="2">
        <v>0</v>
      </c>
      <c r="N11" s="2">
        <v>33.299999999999997</v>
      </c>
      <c r="O11" s="2">
        <v>400</v>
      </c>
      <c r="P11" s="4">
        <v>0.32361111111111113</v>
      </c>
      <c r="Q11" s="10"/>
      <c r="R11" s="41"/>
      <c r="S11" s="30">
        <f t="shared" si="3"/>
        <v>8.1859999999999964</v>
      </c>
      <c r="T11" s="30">
        <v>5</v>
      </c>
      <c r="U11" s="30">
        <f t="shared" si="4"/>
        <v>0.40000000000000568</v>
      </c>
      <c r="V11" s="30">
        <f t="shared" si="13"/>
        <v>0.34405594405594897</v>
      </c>
      <c r="W11" s="30">
        <f t="shared" si="5"/>
        <v>5.5944055944056714E-2</v>
      </c>
      <c r="X11" s="30">
        <f>V11+V10+V9+V8+V7+V6</f>
        <v>3.8706293706293708</v>
      </c>
      <c r="Y11" s="30">
        <f t="shared" si="14"/>
        <v>1.8393706293706291</v>
      </c>
      <c r="Z11" s="30">
        <f t="shared" si="6"/>
        <v>8.2419440559440531</v>
      </c>
      <c r="AA11" s="31">
        <f t="shared" si="7"/>
        <v>0.2231719381841816</v>
      </c>
      <c r="AC11" s="18"/>
      <c r="AD11" s="18"/>
      <c r="AE11" s="24"/>
      <c r="AF11" s="25"/>
      <c r="AG11" s="19">
        <v>3</v>
      </c>
      <c r="AH11" s="19">
        <f t="shared" si="8"/>
        <v>0</v>
      </c>
      <c r="AI11" s="19">
        <f t="shared" si="0"/>
        <v>76</v>
      </c>
      <c r="AJ11" s="21">
        <v>0.28699999999999998</v>
      </c>
      <c r="AK11" s="19">
        <f t="shared" si="9"/>
        <v>4.9141345399999994E-2</v>
      </c>
      <c r="AL11" s="19">
        <f t="shared" si="10"/>
        <v>6.3466293706293699</v>
      </c>
      <c r="AM11" s="19">
        <f t="shared" si="11"/>
        <v>166.5807057858859</v>
      </c>
      <c r="AN11" s="19">
        <f t="shared" si="1"/>
        <v>129.15050084545246</v>
      </c>
      <c r="AO11" s="19">
        <f t="shared" si="12"/>
        <v>0.28728614368348399</v>
      </c>
      <c r="AP11" s="19">
        <f t="shared" si="2"/>
        <v>166.5807057858859</v>
      </c>
      <c r="AQ11" s="35"/>
      <c r="AS11" s="10"/>
      <c r="AT11" s="10"/>
      <c r="AU11" s="10"/>
      <c r="AV11" s="48"/>
      <c r="AW11" s="10"/>
    </row>
    <row r="12" spans="2:49" x14ac:dyDescent="0.25">
      <c r="B12" s="3" t="s">
        <v>161</v>
      </c>
      <c r="C12" s="5">
        <v>21.1</v>
      </c>
      <c r="D12" s="2">
        <v>8</v>
      </c>
      <c r="E12" s="2">
        <v>8</v>
      </c>
      <c r="F12" s="2">
        <v>8</v>
      </c>
      <c r="G12" s="2">
        <v>20</v>
      </c>
      <c r="H12" s="2">
        <v>3.9</v>
      </c>
      <c r="I12" s="2">
        <v>1</v>
      </c>
      <c r="J12" s="2">
        <v>0</v>
      </c>
      <c r="K12" s="2">
        <v>1.6</v>
      </c>
      <c r="L12" s="2">
        <v>0</v>
      </c>
      <c r="M12" s="2">
        <v>0</v>
      </c>
      <c r="N12" s="2">
        <v>33</v>
      </c>
      <c r="O12" s="2">
        <v>300</v>
      </c>
      <c r="P12" s="4">
        <v>0.42083333333333334</v>
      </c>
      <c r="Q12" s="10"/>
      <c r="R12" s="41"/>
      <c r="S12" s="30">
        <f t="shared" si="3"/>
        <v>7.8859999999999992</v>
      </c>
      <c r="T12" s="30">
        <v>6</v>
      </c>
      <c r="U12" s="30">
        <f t="shared" si="4"/>
        <v>0.29999999999999716</v>
      </c>
      <c r="V12" s="30">
        <f t="shared" si="13"/>
        <v>0.25804195804195562</v>
      </c>
      <c r="W12" s="30">
        <f t="shared" si="5"/>
        <v>4.1958041958041536E-2</v>
      </c>
      <c r="X12" s="30">
        <f>V12+V11+V10+V9+V8+V7+V6</f>
        <v>4.1286713286713264</v>
      </c>
      <c r="Y12" s="30">
        <f t="shared" si="14"/>
        <v>1.5813286713286736</v>
      </c>
      <c r="Z12" s="30">
        <f t="shared" si="6"/>
        <v>7.9279580419580409</v>
      </c>
      <c r="AA12" s="31">
        <f t="shared" si="7"/>
        <v>0.19946229066294582</v>
      </c>
      <c r="AC12" s="18"/>
      <c r="AD12" s="18"/>
      <c r="AE12" s="24"/>
      <c r="AF12" s="25"/>
      <c r="AG12" s="19">
        <v>3</v>
      </c>
      <c r="AH12" s="19">
        <f t="shared" si="8"/>
        <v>0</v>
      </c>
      <c r="AI12" s="19">
        <f t="shared" si="0"/>
        <v>76</v>
      </c>
      <c r="AJ12" s="21">
        <v>0.28699999999999998</v>
      </c>
      <c r="AK12" s="19">
        <f t="shared" si="9"/>
        <v>4.9141345399999994E-2</v>
      </c>
      <c r="AL12" s="19">
        <f t="shared" si="10"/>
        <v>6.3046713286713283</v>
      </c>
      <c r="AM12" s="19">
        <f t="shared" si="11"/>
        <v>160.47586682476137</v>
      </c>
      <c r="AN12" s="19">
        <f t="shared" si="1"/>
        <v>128.29667721452594</v>
      </c>
      <c r="AO12" s="19">
        <f t="shared" si="12"/>
        <v>0.24916039349117691</v>
      </c>
      <c r="AP12" s="19">
        <f t="shared" si="2"/>
        <v>160.47586682476137</v>
      </c>
      <c r="AQ12" s="35"/>
      <c r="AS12" s="10"/>
      <c r="AT12" s="10"/>
      <c r="AU12" s="10"/>
      <c r="AV12" s="48"/>
      <c r="AW12" s="10"/>
    </row>
    <row r="13" spans="2:49" x14ac:dyDescent="0.25">
      <c r="B13" s="3" t="s">
        <v>162</v>
      </c>
      <c r="C13" s="5">
        <v>18.2</v>
      </c>
      <c r="D13" s="2">
        <v>10</v>
      </c>
      <c r="E13" s="2">
        <v>10</v>
      </c>
      <c r="F13" s="2">
        <v>10</v>
      </c>
      <c r="G13" s="2">
        <v>20</v>
      </c>
      <c r="H13" s="2">
        <v>4.8</v>
      </c>
      <c r="I13" s="2">
        <v>1</v>
      </c>
      <c r="J13" s="2">
        <v>0</v>
      </c>
      <c r="K13" s="2">
        <v>1.6</v>
      </c>
      <c r="L13" s="2">
        <v>0</v>
      </c>
      <c r="M13" s="2">
        <v>0</v>
      </c>
      <c r="N13" s="2">
        <v>32.799999999999997</v>
      </c>
      <c r="O13" s="2">
        <v>200</v>
      </c>
      <c r="P13" s="4">
        <v>0.41319444444444442</v>
      </c>
      <c r="Q13" s="10"/>
      <c r="R13" s="41"/>
      <c r="S13" s="30">
        <f t="shared" si="3"/>
        <v>7.6859999999999964</v>
      </c>
      <c r="T13" s="30">
        <v>7</v>
      </c>
      <c r="U13" s="30">
        <f t="shared" si="4"/>
        <v>0.20000000000000284</v>
      </c>
      <c r="V13" s="30">
        <f t="shared" si="13"/>
        <v>0.17202797202797449</v>
      </c>
      <c r="W13" s="30">
        <f t="shared" si="5"/>
        <v>2.7972027972028357E-2</v>
      </c>
      <c r="X13" s="30">
        <f>V13+V12+V11+V10+V9+V8+V7+V6</f>
        <v>4.3006993006993008</v>
      </c>
      <c r="Y13" s="30">
        <f t="shared" si="14"/>
        <v>1.4093006993006991</v>
      </c>
      <c r="Z13" s="30">
        <f t="shared" si="6"/>
        <v>7.7139720279720247</v>
      </c>
      <c r="AA13" s="31">
        <f t="shared" si="7"/>
        <v>0.18269455660331183</v>
      </c>
      <c r="AC13" s="18"/>
      <c r="AD13" s="18"/>
      <c r="AE13" s="24"/>
      <c r="AF13" s="25"/>
      <c r="AG13" s="19">
        <v>5</v>
      </c>
      <c r="AH13" s="19">
        <f t="shared" si="8"/>
        <v>2</v>
      </c>
      <c r="AI13" s="19">
        <f t="shared" si="0"/>
        <v>74</v>
      </c>
      <c r="AJ13" s="21">
        <v>0.28699999999999998</v>
      </c>
      <c r="AK13" s="19">
        <f t="shared" si="9"/>
        <v>4.7848152099999992E-2</v>
      </c>
      <c r="AL13" s="19">
        <f t="shared" si="10"/>
        <v>6.2766993006992999</v>
      </c>
      <c r="AM13" s="19">
        <f t="shared" si="11"/>
        <v>160.63316267547137</v>
      </c>
      <c r="AN13" s="19">
        <f t="shared" si="1"/>
        <v>131.17955501356343</v>
      </c>
      <c r="AO13" s="19">
        <f t="shared" si="12"/>
        <v>0.22353277844821476</v>
      </c>
      <c r="AP13" s="19">
        <f t="shared" si="2"/>
        <v>160.63316267547137</v>
      </c>
      <c r="AQ13" s="35"/>
      <c r="AS13" s="10"/>
      <c r="AT13" s="10"/>
      <c r="AU13" s="10"/>
      <c r="AV13" s="48"/>
      <c r="AW13" s="10"/>
    </row>
    <row r="14" spans="2:49" x14ac:dyDescent="0.25">
      <c r="B14" s="3" t="s">
        <v>163</v>
      </c>
      <c r="C14" s="5">
        <v>20.100000000000001</v>
      </c>
      <c r="D14" s="2">
        <v>11</v>
      </c>
      <c r="E14" s="2">
        <v>11</v>
      </c>
      <c r="F14" s="2">
        <v>11</v>
      </c>
      <c r="G14" s="2">
        <v>20</v>
      </c>
      <c r="H14" s="2">
        <v>4.8</v>
      </c>
      <c r="I14" s="2">
        <v>1</v>
      </c>
      <c r="J14" s="2">
        <v>0</v>
      </c>
      <c r="K14" s="2">
        <v>1.6</v>
      </c>
      <c r="L14" s="2">
        <v>0</v>
      </c>
      <c r="M14" s="2">
        <v>0</v>
      </c>
      <c r="N14" s="2">
        <v>32.6</v>
      </c>
      <c r="O14" s="2">
        <v>200</v>
      </c>
      <c r="P14" s="4">
        <v>0.34097222222222223</v>
      </c>
      <c r="Q14" s="10"/>
      <c r="R14" s="41"/>
      <c r="S14" s="30">
        <f t="shared" si="3"/>
        <v>7.4860000000000007</v>
      </c>
      <c r="T14" s="30">
        <v>8</v>
      </c>
      <c r="U14" s="30">
        <f t="shared" si="4"/>
        <v>0.19999999999999574</v>
      </c>
      <c r="V14" s="30">
        <f t="shared" si="13"/>
        <v>0.17202797202796835</v>
      </c>
      <c r="W14" s="30">
        <f t="shared" si="5"/>
        <v>2.7972027972027386E-2</v>
      </c>
      <c r="X14" s="30">
        <f>V14+V13+V12+V11+V10+V9+V8+V7+V6</f>
        <v>4.4727272727272691</v>
      </c>
      <c r="Y14" s="30">
        <f t="shared" si="14"/>
        <v>1.2372727272727309</v>
      </c>
      <c r="Z14" s="30">
        <f t="shared" si="6"/>
        <v>7.5139720279720281</v>
      </c>
      <c r="AA14" s="31">
        <f t="shared" si="7"/>
        <v>0.16466294027536627</v>
      </c>
      <c r="AC14" s="18"/>
      <c r="AD14" s="18"/>
      <c r="AE14" s="24"/>
      <c r="AF14" s="25"/>
      <c r="AG14" s="19">
        <v>6</v>
      </c>
      <c r="AH14" s="19">
        <f t="shared" si="8"/>
        <v>1</v>
      </c>
      <c r="AI14" s="19">
        <f t="shared" si="0"/>
        <v>75</v>
      </c>
      <c r="AJ14" s="21">
        <v>0.28699999999999998</v>
      </c>
      <c r="AK14" s="19">
        <f t="shared" si="9"/>
        <v>4.8494748749999997E-2</v>
      </c>
      <c r="AL14" s="19">
        <f t="shared" si="10"/>
        <v>6.2487272727272725</v>
      </c>
      <c r="AM14" s="19">
        <f t="shared" si="11"/>
        <v>154.36722929717212</v>
      </c>
      <c r="AN14" s="19">
        <f t="shared" si="1"/>
        <v>128.85368898271224</v>
      </c>
      <c r="AO14" s="19">
        <f t="shared" si="12"/>
        <v>0.19712155513565613</v>
      </c>
      <c r="AP14" s="19">
        <f t="shared" si="2"/>
        <v>154.36722929717212</v>
      </c>
      <c r="AQ14" s="35"/>
      <c r="AS14" s="10"/>
      <c r="AT14" s="10"/>
      <c r="AU14" s="10"/>
      <c r="AV14" s="48"/>
      <c r="AW14" s="10"/>
    </row>
    <row r="15" spans="2:49" x14ac:dyDescent="0.25">
      <c r="B15" s="3" t="s">
        <v>164</v>
      </c>
      <c r="C15" s="5">
        <v>19.7</v>
      </c>
      <c r="D15" s="2">
        <v>11</v>
      </c>
      <c r="E15" s="2">
        <v>11</v>
      </c>
      <c r="F15" s="2">
        <v>11</v>
      </c>
      <c r="G15" s="2">
        <v>20</v>
      </c>
      <c r="H15" s="2">
        <v>4.0999999999999996</v>
      </c>
      <c r="I15" s="2">
        <v>0</v>
      </c>
      <c r="J15" s="2">
        <v>0</v>
      </c>
      <c r="K15" s="2">
        <v>1.5</v>
      </c>
      <c r="L15" s="2">
        <v>0</v>
      </c>
      <c r="M15" s="2">
        <v>0</v>
      </c>
      <c r="N15" s="2">
        <v>32.5</v>
      </c>
      <c r="O15" s="2">
        <v>100</v>
      </c>
      <c r="P15" s="4">
        <v>0.34236111111111112</v>
      </c>
      <c r="Q15" s="10"/>
      <c r="R15" s="41"/>
      <c r="S15" s="30">
        <f t="shared" si="3"/>
        <v>7.3859999999999992</v>
      </c>
      <c r="T15" s="30">
        <v>9</v>
      </c>
      <c r="U15" s="30">
        <f t="shared" si="4"/>
        <v>0.10000000000000142</v>
      </c>
      <c r="V15" s="30">
        <f t="shared" si="13"/>
        <v>8.6013986013987243E-2</v>
      </c>
      <c r="W15" s="30">
        <f t="shared" si="5"/>
        <v>1.3986013986014179E-2</v>
      </c>
      <c r="X15" s="30">
        <f>V15+V14+V13+V12+V11+V10+V9+V8+V7+V6</f>
        <v>4.5587412587412564</v>
      </c>
      <c r="Y15" s="30">
        <f t="shared" si="14"/>
        <v>1.1512587412587436</v>
      </c>
      <c r="Z15" s="30">
        <f t="shared" si="6"/>
        <v>7.3999860139860134</v>
      </c>
      <c r="AA15" s="31">
        <f t="shared" si="7"/>
        <v>0.15557579961406121</v>
      </c>
      <c r="AC15" s="18"/>
      <c r="AD15" s="18"/>
      <c r="AE15" s="24"/>
      <c r="AF15" s="25"/>
      <c r="AG15" s="19">
        <v>6</v>
      </c>
      <c r="AH15" s="19">
        <f t="shared" si="8"/>
        <v>0</v>
      </c>
      <c r="AI15" s="19">
        <f t="shared" si="0"/>
        <v>76</v>
      </c>
      <c r="AJ15" s="21">
        <v>0.28699999999999998</v>
      </c>
      <c r="AK15" s="19">
        <f t="shared" si="9"/>
        <v>4.9141345399999994E-2</v>
      </c>
      <c r="AL15" s="19">
        <f t="shared" si="10"/>
        <v>6.2347412587412583</v>
      </c>
      <c r="AM15" s="19">
        <f t="shared" si="11"/>
        <v>150.30113522288707</v>
      </c>
      <c r="AN15" s="19">
        <f t="shared" si="1"/>
        <v>126.87363782964842</v>
      </c>
      <c r="AO15" s="19">
        <f t="shared" si="12"/>
        <v>0.18423891634436373</v>
      </c>
      <c r="AP15" s="19">
        <f t="shared" si="2"/>
        <v>150.30113522288707</v>
      </c>
      <c r="AQ15" s="35"/>
      <c r="AS15" s="10"/>
      <c r="AT15" s="10"/>
      <c r="AU15" s="10"/>
      <c r="AV15" s="48"/>
      <c r="AW15" s="10"/>
    </row>
    <row r="16" spans="2:49" x14ac:dyDescent="0.25">
      <c r="B16" s="3" t="s">
        <v>165</v>
      </c>
      <c r="C16" s="5">
        <v>19.7</v>
      </c>
      <c r="D16" s="2">
        <v>11</v>
      </c>
      <c r="E16" s="2">
        <v>11</v>
      </c>
      <c r="F16" s="2">
        <v>11</v>
      </c>
      <c r="G16" s="2">
        <v>20</v>
      </c>
      <c r="H16" s="2">
        <v>4.3</v>
      </c>
      <c r="I16" s="2">
        <v>0</v>
      </c>
      <c r="J16" s="2">
        <v>0</v>
      </c>
      <c r="K16" s="2">
        <v>1.5</v>
      </c>
      <c r="L16" s="2">
        <v>0</v>
      </c>
      <c r="M16" s="2">
        <v>0</v>
      </c>
      <c r="N16" s="2">
        <v>32.5</v>
      </c>
      <c r="O16" s="2">
        <v>0</v>
      </c>
      <c r="P16" s="4">
        <v>0.3888888888888889</v>
      </c>
      <c r="Q16" s="10"/>
      <c r="R16" s="41"/>
      <c r="S16" s="30">
        <f t="shared" si="3"/>
        <v>7.3859999999999992</v>
      </c>
      <c r="T16" s="30">
        <v>10</v>
      </c>
      <c r="U16" s="30">
        <f t="shared" si="4"/>
        <v>0</v>
      </c>
      <c r="V16" s="30">
        <f t="shared" si="13"/>
        <v>0</v>
      </c>
      <c r="W16" s="30">
        <f t="shared" si="5"/>
        <v>0</v>
      </c>
      <c r="X16" s="30">
        <f>V16+V15+V14+V13+V12+V11+V10+V9+V8+V7+V6</f>
        <v>4.5587412587412564</v>
      </c>
      <c r="Y16" s="30">
        <f t="shared" si="14"/>
        <v>1.1512587412587436</v>
      </c>
      <c r="Z16" s="30">
        <f t="shared" si="6"/>
        <v>7.3859999999999992</v>
      </c>
      <c r="AA16" s="31">
        <f t="shared" si="7"/>
        <v>0.15587039551296286</v>
      </c>
      <c r="AC16" s="18"/>
      <c r="AD16" s="18"/>
      <c r="AE16" s="24"/>
      <c r="AF16" s="25"/>
      <c r="AG16" s="19">
        <v>6</v>
      </c>
      <c r="AH16" s="19">
        <f t="shared" si="8"/>
        <v>0</v>
      </c>
      <c r="AI16" s="19">
        <f t="shared" si="0"/>
        <v>76</v>
      </c>
      <c r="AJ16" s="21">
        <v>0.28699999999999998</v>
      </c>
      <c r="AK16" s="19">
        <f t="shared" si="9"/>
        <v>4.9141345399999994E-2</v>
      </c>
      <c r="AL16" s="19">
        <f t="shared" si="10"/>
        <v>6.2347412587412583</v>
      </c>
      <c r="AM16" s="19">
        <f t="shared" si="11"/>
        <v>150.30113522288707</v>
      </c>
      <c r="AN16" s="19">
        <f t="shared" si="1"/>
        <v>126.87363782964842</v>
      </c>
      <c r="AO16" s="19">
        <f t="shared" si="12"/>
        <v>0.184652208244352</v>
      </c>
      <c r="AP16" s="19">
        <f t="shared" si="2"/>
        <v>150.30113522288707</v>
      </c>
      <c r="AQ16" s="35"/>
      <c r="AS16" s="10"/>
      <c r="AT16" s="10"/>
      <c r="AU16" s="10"/>
      <c r="AV16" s="48"/>
      <c r="AW16" s="10"/>
    </row>
    <row r="17" spans="2:49" x14ac:dyDescent="0.25">
      <c r="B17" s="6" t="s">
        <v>166</v>
      </c>
      <c r="C17" s="5">
        <v>20.3</v>
      </c>
      <c r="D17" s="2">
        <v>11</v>
      </c>
      <c r="E17" s="2">
        <v>11</v>
      </c>
      <c r="F17" s="2">
        <v>11</v>
      </c>
      <c r="G17" s="2">
        <v>20</v>
      </c>
      <c r="H17" s="2">
        <v>4.3</v>
      </c>
      <c r="I17" s="2">
        <v>0</v>
      </c>
      <c r="J17" s="2">
        <v>0</v>
      </c>
      <c r="K17" s="2">
        <v>1.5</v>
      </c>
      <c r="L17" s="2">
        <v>0</v>
      </c>
      <c r="M17" s="2">
        <v>0</v>
      </c>
      <c r="N17" s="2">
        <v>32.200000000000003</v>
      </c>
      <c r="O17" s="2">
        <v>300</v>
      </c>
      <c r="P17" s="4">
        <v>0.36180555555555555</v>
      </c>
      <c r="Q17" s="10"/>
      <c r="R17" s="41"/>
      <c r="S17" s="30">
        <f t="shared" si="3"/>
        <v>7.0860000000000021</v>
      </c>
      <c r="T17" s="30">
        <v>11</v>
      </c>
      <c r="U17" s="30">
        <f t="shared" si="4"/>
        <v>0.29999999999999716</v>
      </c>
      <c r="V17" s="30">
        <f t="shared" si="13"/>
        <v>0.25804195804195562</v>
      </c>
      <c r="W17" s="30">
        <f t="shared" si="5"/>
        <v>4.1958041958041536E-2</v>
      </c>
      <c r="X17" s="30">
        <f>V17+V16+V15+V14+V13+V12+V11+V10+V9+V8+V7+V6</f>
        <v>4.8167832167832119</v>
      </c>
      <c r="Y17" s="30">
        <f t="shared" si="14"/>
        <v>0.8932167832167881</v>
      </c>
      <c r="Z17" s="30">
        <f t="shared" si="6"/>
        <v>7.1279580419580437</v>
      </c>
      <c r="AA17" s="31">
        <f t="shared" si="7"/>
        <v>0.12531173415429114</v>
      </c>
      <c r="AC17" s="18"/>
      <c r="AD17" s="18"/>
      <c r="AE17" s="24"/>
      <c r="AF17" s="25"/>
      <c r="AG17" s="19">
        <v>6</v>
      </c>
      <c r="AH17" s="19">
        <f t="shared" si="8"/>
        <v>0</v>
      </c>
      <c r="AI17" s="19">
        <f t="shared" si="0"/>
        <v>76</v>
      </c>
      <c r="AJ17" s="21">
        <v>0.28699999999999998</v>
      </c>
      <c r="AK17" s="19">
        <f t="shared" si="9"/>
        <v>4.9141345399999994E-2</v>
      </c>
      <c r="AL17" s="19">
        <f t="shared" si="10"/>
        <v>6.1927832167832166</v>
      </c>
      <c r="AM17" s="19">
        <f t="shared" si="11"/>
        <v>144.19629626176257</v>
      </c>
      <c r="AN17" s="19">
        <f t="shared" si="1"/>
        <v>126.0198141987219</v>
      </c>
      <c r="AO17" s="19">
        <f t="shared" si="12"/>
        <v>0.14326445094485304</v>
      </c>
      <c r="AP17" s="19">
        <f t="shared" si="2"/>
        <v>144.19629626176257</v>
      </c>
      <c r="AQ17" s="35"/>
      <c r="AS17" s="10"/>
      <c r="AT17" s="10"/>
      <c r="AU17" s="10"/>
      <c r="AV17" s="48"/>
      <c r="AW17" s="10"/>
    </row>
    <row r="18" spans="2:49" x14ac:dyDescent="0.25">
      <c r="B18" s="3" t="s">
        <v>167</v>
      </c>
      <c r="C18" s="5">
        <v>18.8</v>
      </c>
      <c r="D18" s="2">
        <v>11</v>
      </c>
      <c r="E18" s="2">
        <v>11</v>
      </c>
      <c r="F18" s="2">
        <v>11</v>
      </c>
      <c r="G18" s="2">
        <v>20</v>
      </c>
      <c r="H18" s="2">
        <v>4.3</v>
      </c>
      <c r="I18" s="2">
        <v>0</v>
      </c>
      <c r="J18" s="2">
        <v>0</v>
      </c>
      <c r="K18" s="2">
        <v>1.5</v>
      </c>
      <c r="L18" s="2">
        <v>0</v>
      </c>
      <c r="M18" s="2">
        <v>0</v>
      </c>
      <c r="N18" s="2">
        <v>32.1</v>
      </c>
      <c r="O18" s="2">
        <v>100</v>
      </c>
      <c r="P18" s="4">
        <v>0.39652777777777781</v>
      </c>
      <c r="Q18" s="10"/>
      <c r="R18" s="41"/>
      <c r="S18" s="30">
        <f t="shared" si="3"/>
        <v>6.9860000000000007</v>
      </c>
      <c r="T18" s="30">
        <v>12</v>
      </c>
      <c r="U18" s="30">
        <f t="shared" si="4"/>
        <v>0.10000000000000142</v>
      </c>
      <c r="V18" s="30">
        <f t="shared" si="13"/>
        <v>8.6013986013987243E-2</v>
      </c>
      <c r="W18" s="30">
        <f t="shared" si="5"/>
        <v>1.3986013986014179E-2</v>
      </c>
      <c r="X18" s="30">
        <f>V18+V17+V16+V15+V14+V13+V12+V11+V10+V9+V8+V7+V6</f>
        <v>4.9027972027971991</v>
      </c>
      <c r="Y18" s="30">
        <f t="shared" si="14"/>
        <v>0.80720279720280086</v>
      </c>
      <c r="Z18" s="30">
        <f t="shared" si="6"/>
        <v>6.9999860139860148</v>
      </c>
      <c r="AA18" s="31">
        <f t="shared" si="7"/>
        <v>0.11531491571411782</v>
      </c>
      <c r="AC18" s="18"/>
      <c r="AD18" s="18"/>
      <c r="AE18" s="24"/>
      <c r="AF18" s="25"/>
      <c r="AG18" s="19">
        <v>6</v>
      </c>
      <c r="AH18" s="19">
        <f t="shared" si="8"/>
        <v>0</v>
      </c>
      <c r="AI18" s="19">
        <f t="shared" si="0"/>
        <v>76</v>
      </c>
      <c r="AJ18" s="21">
        <v>0.28699999999999998</v>
      </c>
      <c r="AK18" s="19">
        <f t="shared" si="9"/>
        <v>4.9141345399999994E-2</v>
      </c>
      <c r="AL18" s="19">
        <f t="shared" si="10"/>
        <v>6.1787972027972025</v>
      </c>
      <c r="AM18" s="19">
        <f t="shared" si="11"/>
        <v>142.16134994138767</v>
      </c>
      <c r="AN18" s="19">
        <f t="shared" si="1"/>
        <v>125.73520632174639</v>
      </c>
      <c r="AO18" s="19">
        <f t="shared" si="12"/>
        <v>0.13034572161595787</v>
      </c>
      <c r="AP18" s="19">
        <f t="shared" si="2"/>
        <v>142.16134994138767</v>
      </c>
      <c r="AQ18" s="35"/>
      <c r="AS18" s="10"/>
      <c r="AT18" s="10"/>
      <c r="AU18" s="10"/>
      <c r="AV18" s="48"/>
      <c r="AW18" s="10"/>
    </row>
    <row r="19" spans="2:49" x14ac:dyDescent="0.25">
      <c r="B19" s="3" t="s">
        <v>168</v>
      </c>
      <c r="C19" s="5">
        <v>18.600000000000001</v>
      </c>
      <c r="D19" s="2">
        <v>11</v>
      </c>
      <c r="E19" s="2">
        <v>11</v>
      </c>
      <c r="F19" s="2">
        <v>11</v>
      </c>
      <c r="G19" s="2">
        <v>20</v>
      </c>
      <c r="H19" s="2">
        <v>4</v>
      </c>
      <c r="I19" s="2">
        <v>0</v>
      </c>
      <c r="J19" s="2">
        <v>0</v>
      </c>
      <c r="K19" s="2">
        <v>1.5</v>
      </c>
      <c r="L19" s="2">
        <v>0</v>
      </c>
      <c r="M19" s="2">
        <v>0</v>
      </c>
      <c r="N19" s="2">
        <v>32</v>
      </c>
      <c r="O19" s="2">
        <v>100</v>
      </c>
      <c r="P19" s="4">
        <v>0.3263888888888889</v>
      </c>
      <c r="Q19" s="10"/>
      <c r="R19" s="41"/>
      <c r="S19" s="30">
        <f t="shared" si="3"/>
        <v>6.8859999999999992</v>
      </c>
      <c r="T19" s="30">
        <v>13</v>
      </c>
      <c r="U19" s="30">
        <f t="shared" si="4"/>
        <v>0.10000000000000142</v>
      </c>
      <c r="V19" s="30">
        <f t="shared" si="13"/>
        <v>8.6013986013987243E-2</v>
      </c>
      <c r="W19" s="30">
        <f t="shared" si="5"/>
        <v>1.3986013986014179E-2</v>
      </c>
      <c r="X19" s="30">
        <f>V19+V18+V17+V16+V15+V14+V13+V12+V11+V10+V9+V8+V7+V6</f>
        <v>4.9888111888111863</v>
      </c>
      <c r="Y19" s="30">
        <f t="shared" si="14"/>
        <v>0.72118881118881362</v>
      </c>
      <c r="Z19" s="30">
        <f t="shared" si="6"/>
        <v>6.8999860139860134</v>
      </c>
      <c r="AA19" s="31">
        <f t="shared" si="7"/>
        <v>0.10452032942197143</v>
      </c>
      <c r="AC19" s="18"/>
      <c r="AD19" s="18"/>
      <c r="AG19" s="19">
        <v>6</v>
      </c>
      <c r="AH19" s="19">
        <f t="shared" si="8"/>
        <v>0</v>
      </c>
      <c r="AI19" s="19">
        <f t="shared" si="0"/>
        <v>76</v>
      </c>
      <c r="AJ19" s="21">
        <v>0.28699999999999998</v>
      </c>
      <c r="AK19" s="19">
        <f t="shared" si="9"/>
        <v>4.9141345399999994E-2</v>
      </c>
      <c r="AL19" s="19">
        <f t="shared" si="10"/>
        <v>6.1648111888111883</v>
      </c>
      <c r="AM19" s="19">
        <f t="shared" si="11"/>
        <v>140.1264036210128</v>
      </c>
      <c r="AN19" s="19">
        <f t="shared" si="1"/>
        <v>125.45059844477089</v>
      </c>
      <c r="AO19" s="19">
        <f t="shared" si="12"/>
        <v>0.11671993553410762</v>
      </c>
      <c r="AP19" s="19">
        <f t="shared" si="2"/>
        <v>140.1264036210128</v>
      </c>
      <c r="AQ19" s="35"/>
      <c r="AS19" s="10"/>
      <c r="AT19" s="10"/>
      <c r="AU19" s="10"/>
      <c r="AV19" s="48"/>
      <c r="AW19" s="10"/>
    </row>
    <row r="20" spans="2:49" x14ac:dyDescent="0.25">
      <c r="B20" s="3" t="s">
        <v>169</v>
      </c>
      <c r="C20" s="5">
        <v>19.100000000000001</v>
      </c>
      <c r="D20" s="5">
        <v>11</v>
      </c>
      <c r="E20" s="5">
        <v>11</v>
      </c>
      <c r="F20" s="5">
        <v>11</v>
      </c>
      <c r="G20" s="2">
        <v>20</v>
      </c>
      <c r="H20" s="2">
        <v>3.9</v>
      </c>
      <c r="I20" s="2">
        <v>0</v>
      </c>
      <c r="J20" s="2">
        <v>0</v>
      </c>
      <c r="K20" s="2">
        <v>1.5</v>
      </c>
      <c r="L20" s="2">
        <v>0</v>
      </c>
      <c r="M20" s="2">
        <v>0</v>
      </c>
      <c r="N20" s="5">
        <v>31.9</v>
      </c>
      <c r="O20" s="2">
        <v>100</v>
      </c>
      <c r="P20" s="4">
        <v>0.36944444444444446</v>
      </c>
      <c r="Q20" s="39"/>
      <c r="R20" s="41"/>
      <c r="S20" s="30">
        <f t="shared" si="3"/>
        <v>6.7859999999999978</v>
      </c>
      <c r="T20" s="30">
        <v>14</v>
      </c>
      <c r="U20" s="30">
        <f t="shared" si="4"/>
        <v>0.10000000000000142</v>
      </c>
      <c r="V20" s="30">
        <f t="shared" si="13"/>
        <v>8.6013986013987243E-2</v>
      </c>
      <c r="W20" s="30">
        <f t="shared" si="5"/>
        <v>1.3986013986014179E-2</v>
      </c>
      <c r="X20" s="30">
        <f>V20+V19+V18+V17+V16+V15+V14+V13+V12+V11+V10+V9+V8+V7</f>
        <v>5.0748251748251736</v>
      </c>
      <c r="Y20" s="30">
        <f t="shared" si="14"/>
        <v>0.63517482517482637</v>
      </c>
      <c r="Z20" s="30">
        <f t="shared" si="6"/>
        <v>6.799986013986012</v>
      </c>
      <c r="AA20" s="31">
        <f t="shared" si="7"/>
        <v>9.3408254644703301E-2</v>
      </c>
      <c r="AE20" s="26" t="s">
        <v>310</v>
      </c>
      <c r="AF20" s="27">
        <v>1360</v>
      </c>
      <c r="AG20" s="19">
        <v>6</v>
      </c>
      <c r="AH20" s="19">
        <f t="shared" si="8"/>
        <v>0</v>
      </c>
      <c r="AI20" s="19">
        <f t="shared" si="0"/>
        <v>76</v>
      </c>
      <c r="AJ20" s="21">
        <v>1.2869999999999999</v>
      </c>
      <c r="AK20" s="19">
        <f t="shared" si="9"/>
        <v>4.9141345399999994E-2</v>
      </c>
      <c r="AL20" s="19">
        <f t="shared" si="10"/>
        <v>6.1508251748251741</v>
      </c>
      <c r="AM20" s="19">
        <f t="shared" si="11"/>
        <v>138.0914573006379</v>
      </c>
      <c r="AN20" s="19">
        <f t="shared" si="1"/>
        <v>125.16599056779538</v>
      </c>
      <c r="AO20" s="19">
        <f t="shared" si="12"/>
        <v>0.10303232422229507</v>
      </c>
      <c r="AP20" s="19">
        <f t="shared" si="2"/>
        <v>138.0914573006379</v>
      </c>
      <c r="AQ20" s="35"/>
      <c r="AS20" s="39"/>
      <c r="AT20" s="39"/>
      <c r="AU20" s="39"/>
      <c r="AV20" s="10"/>
      <c r="AW20" s="10"/>
    </row>
    <row r="21" spans="2:49" x14ac:dyDescent="0.25">
      <c r="B21" s="47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50"/>
      <c r="Q21" s="10"/>
      <c r="R21" s="42"/>
      <c r="S21" s="30"/>
      <c r="T21" s="30"/>
      <c r="U21" s="30"/>
      <c r="V21" s="30"/>
      <c r="W21" s="30"/>
      <c r="X21" s="30"/>
      <c r="Y21" s="30"/>
      <c r="Z21" s="30"/>
      <c r="AA21" s="31"/>
      <c r="AG21" s="19"/>
      <c r="AH21" s="19"/>
      <c r="AI21" s="19"/>
      <c r="AJ21" s="21"/>
      <c r="AK21" s="19"/>
      <c r="AL21" s="19"/>
      <c r="AM21" s="19"/>
      <c r="AN21" s="19"/>
      <c r="AO21" s="19"/>
      <c r="AP21" s="19"/>
      <c r="AQ21" s="35"/>
      <c r="AS21" s="48"/>
      <c r="AT21" s="48"/>
      <c r="AU21" s="48"/>
      <c r="AV21" s="10"/>
    </row>
    <row r="22" spans="2:49" x14ac:dyDescent="0.25">
      <c r="B22" s="63" t="s">
        <v>303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10"/>
      <c r="R22" s="42"/>
      <c r="S22" s="11" t="s">
        <v>305</v>
      </c>
      <c r="T22" s="11"/>
      <c r="U22" s="11"/>
      <c r="V22" s="11"/>
      <c r="W22" s="11"/>
      <c r="X22" s="11"/>
      <c r="Y22" s="11"/>
      <c r="Z22" s="11"/>
      <c r="AA22" s="11"/>
      <c r="AG22" s="63" t="s">
        <v>305</v>
      </c>
      <c r="AH22" s="63"/>
      <c r="AI22" s="63"/>
      <c r="AJ22" s="63"/>
      <c r="AK22" s="63"/>
      <c r="AL22" s="63"/>
      <c r="AM22" s="63"/>
      <c r="AN22" s="63"/>
      <c r="AO22" s="63"/>
      <c r="AP22" s="63"/>
      <c r="AQ22" s="35"/>
      <c r="AT22" s="10"/>
      <c r="AU22" s="10"/>
      <c r="AV22" s="10"/>
    </row>
    <row r="23" spans="2:49" x14ac:dyDescent="0.25">
      <c r="Q23" s="10"/>
      <c r="R23" s="42"/>
      <c r="AQ23" s="35"/>
      <c r="AT23" s="10"/>
      <c r="AU23" s="10"/>
      <c r="AV23" s="10"/>
    </row>
    <row r="24" spans="2:49" x14ac:dyDescent="0.25">
      <c r="B24" s="39"/>
      <c r="C24" s="3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42"/>
      <c r="Q24" s="10"/>
      <c r="R24" s="42"/>
      <c r="S24" t="s">
        <v>313</v>
      </c>
      <c r="X24" s="8">
        <v>5.71</v>
      </c>
      <c r="Y24" s="30"/>
      <c r="Z24" s="30"/>
      <c r="AA24" s="31"/>
      <c r="AG24" s="19"/>
      <c r="AH24" s="19"/>
      <c r="AI24" s="19"/>
      <c r="AJ24" s="21"/>
      <c r="AK24" s="19"/>
      <c r="AL24" s="19"/>
      <c r="AM24" s="19"/>
      <c r="AN24" s="19"/>
      <c r="AO24" s="19"/>
      <c r="AP24" s="19"/>
      <c r="AQ24" s="35"/>
      <c r="AT24" s="10"/>
      <c r="AU24" s="10"/>
      <c r="AV24" s="10"/>
    </row>
    <row r="25" spans="2:49" x14ac:dyDescent="0.25">
      <c r="B25" s="39"/>
      <c r="C25" s="3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42"/>
      <c r="Q25" s="10"/>
      <c r="R25" s="42"/>
      <c r="S25" t="s">
        <v>312</v>
      </c>
      <c r="X25" s="8">
        <v>0.53400000000000003</v>
      </c>
      <c r="Y25" s="30"/>
      <c r="Z25" s="30"/>
      <c r="AA25" s="31"/>
      <c r="AG25" s="19"/>
      <c r="AH25" s="19"/>
      <c r="AI25" s="19"/>
      <c r="AJ25" s="21"/>
      <c r="AK25" s="19"/>
      <c r="AL25" s="19"/>
      <c r="AM25" s="19"/>
      <c r="AN25" s="19"/>
      <c r="AO25" s="19"/>
      <c r="AP25" s="19"/>
      <c r="AQ25" s="35"/>
      <c r="AT25" s="10"/>
      <c r="AU25" s="10"/>
      <c r="AV25" s="10"/>
    </row>
    <row r="26" spans="2:49" x14ac:dyDescent="0.25">
      <c r="B26" s="39"/>
      <c r="C26" s="3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2"/>
      <c r="Q26" s="10"/>
      <c r="R26" s="42"/>
      <c r="S26" t="s">
        <v>311</v>
      </c>
      <c r="X26" s="8">
        <f>S6-S20</f>
        <v>5.8999999999999986</v>
      </c>
      <c r="Y26" s="30"/>
      <c r="Z26" s="30"/>
      <c r="AA26" s="31"/>
      <c r="AG26" s="19"/>
      <c r="AH26" s="19"/>
      <c r="AI26" s="19"/>
      <c r="AJ26" s="21"/>
      <c r="AK26" s="19"/>
      <c r="AL26" s="19"/>
      <c r="AM26" s="19"/>
      <c r="AN26" s="19"/>
      <c r="AO26" s="19"/>
      <c r="AP26" s="19"/>
      <c r="AQ26" s="35"/>
      <c r="AT26" s="10"/>
      <c r="AU26" s="10"/>
      <c r="AV26" s="10"/>
    </row>
    <row r="27" spans="2:49" x14ac:dyDescent="0.25">
      <c r="B27" s="39"/>
      <c r="C27" s="3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42"/>
      <c r="S27" t="s">
        <v>314</v>
      </c>
      <c r="X27" s="8">
        <f>X24-X25</f>
        <v>5.1760000000000002</v>
      </c>
      <c r="Y27" s="30"/>
      <c r="Z27" s="30"/>
      <c r="AA27" s="31"/>
      <c r="AG27" s="19"/>
      <c r="AH27" s="19"/>
      <c r="AI27" s="19"/>
      <c r="AJ27" s="21"/>
      <c r="AK27" s="19"/>
      <c r="AL27" s="19"/>
      <c r="AM27" s="19"/>
      <c r="AN27" s="19"/>
      <c r="AO27" s="19"/>
      <c r="AP27" s="19"/>
      <c r="AQ27" s="35"/>
      <c r="AT27" s="10"/>
      <c r="AU27" s="10"/>
      <c r="AV27" s="10"/>
    </row>
    <row r="28" spans="2:49" x14ac:dyDescent="0.25">
      <c r="S28" t="s">
        <v>315</v>
      </c>
      <c r="X28" s="8">
        <f>X26-X27</f>
        <v>0.72399999999999842</v>
      </c>
      <c r="AQ28" s="35"/>
    </row>
    <row r="29" spans="2:49" x14ac:dyDescent="0.25">
      <c r="AQ29" s="35"/>
    </row>
    <row r="30" spans="2:49" x14ac:dyDescent="0.25">
      <c r="S30" t="s">
        <v>316</v>
      </c>
      <c r="X30" s="29">
        <f>X27/X28</f>
        <v>7.1491712707182478</v>
      </c>
      <c r="AQ30" s="35"/>
    </row>
    <row r="31" spans="2:49" x14ac:dyDescent="0.25">
      <c r="AQ31" s="35"/>
    </row>
    <row r="32" spans="2:49" x14ac:dyDescent="0.25">
      <c r="AQ32" s="35"/>
    </row>
    <row r="33" spans="1:43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4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8"/>
    </row>
    <row r="35" spans="1:43" x14ac:dyDescent="0.25">
      <c r="Y35" s="18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10" spans="46:46" x14ac:dyDescent="0.25">
      <c r="AT410" s="7"/>
    </row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54" spans="46:46" x14ac:dyDescent="0.25">
      <c r="AT554" s="7"/>
    </row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84" spans="46:46" x14ac:dyDescent="0.25">
      <c r="AT684" s="7"/>
    </row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</sheetData>
  <mergeCells count="2">
    <mergeCell ref="B22:P22"/>
    <mergeCell ref="AG22:AP2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5654C-6B36-4F8E-8CE5-674D7A5E02B9}">
  <dimension ref="A1:AW684"/>
  <sheetViews>
    <sheetView zoomScale="55" zoomScaleNormal="55" workbookViewId="0">
      <selection activeCell="O30" sqref="O30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4.710937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</cols>
  <sheetData>
    <row r="1" spans="2:49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9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9" x14ac:dyDescent="0.25">
      <c r="L3" s="9"/>
      <c r="M3" s="10"/>
      <c r="AQ3" s="35"/>
    </row>
    <row r="4" spans="2:49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365</v>
      </c>
      <c r="W4" s="17" t="s">
        <v>366</v>
      </c>
      <c r="X4" s="17" t="s">
        <v>367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9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9" x14ac:dyDescent="0.25">
      <c r="B6" s="12" t="s">
        <v>170</v>
      </c>
      <c r="C6" s="13">
        <v>32.9</v>
      </c>
      <c r="D6" s="14">
        <v>5</v>
      </c>
      <c r="E6" s="14">
        <v>5</v>
      </c>
      <c r="F6" s="14">
        <v>5</v>
      </c>
      <c r="G6" s="14">
        <v>20</v>
      </c>
      <c r="H6" s="14">
        <v>0.1</v>
      </c>
      <c r="I6" s="14">
        <v>0</v>
      </c>
      <c r="J6" s="14">
        <v>0</v>
      </c>
      <c r="K6" s="14">
        <v>21</v>
      </c>
      <c r="L6" s="14">
        <v>0</v>
      </c>
      <c r="M6" s="14">
        <v>0</v>
      </c>
      <c r="N6" s="14">
        <v>50.3</v>
      </c>
      <c r="O6" s="14">
        <v>0</v>
      </c>
      <c r="P6" s="46">
        <v>0.4513888888888889</v>
      </c>
      <c r="Q6" s="10"/>
      <c r="R6" s="41"/>
      <c r="S6" s="30">
        <f>N6-24.924</f>
        <v>25.375999999999998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11.42</v>
      </c>
      <c r="Z6" s="30">
        <f>S6-V6</f>
        <v>25.375999999999998</v>
      </c>
      <c r="AA6" s="31">
        <f>Y6/Z6</f>
        <v>0.45003152585119804</v>
      </c>
      <c r="AC6" s="18"/>
      <c r="AD6" s="18">
        <v>1000</v>
      </c>
      <c r="AE6" s="22" t="s">
        <v>309</v>
      </c>
      <c r="AF6" s="23">
        <v>1390</v>
      </c>
      <c r="AG6" s="19">
        <v>0</v>
      </c>
      <c r="AH6" s="19">
        <v>0</v>
      </c>
      <c r="AI6" s="19">
        <f t="shared" ref="AI6:AI20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13.956</v>
      </c>
      <c r="AM6" s="19">
        <f>S6/AK6</f>
        <v>516.38797825832421</v>
      </c>
      <c r="AN6" s="19">
        <f t="shared" ref="AN6:AN20" si="1">AL6/AK6</f>
        <v>283.99710847151533</v>
      </c>
      <c r="AO6" s="19">
        <f>(AA6/(1-AA6))</f>
        <v>0.81828604184580123</v>
      </c>
      <c r="AP6" s="19">
        <f t="shared" ref="AP6:AP20" si="2">AM6/(1+AQ6)</f>
        <v>516.38797825832421</v>
      </c>
      <c r="AQ6" s="35"/>
      <c r="AS6" s="10"/>
      <c r="AT6" s="48"/>
      <c r="AU6" s="48"/>
      <c r="AV6" s="48"/>
      <c r="AW6" s="10"/>
    </row>
    <row r="7" spans="2:49" x14ac:dyDescent="0.25">
      <c r="B7" s="12" t="s">
        <v>171</v>
      </c>
      <c r="C7" s="13">
        <v>61.1</v>
      </c>
      <c r="D7" s="14">
        <v>6</v>
      </c>
      <c r="E7" s="14">
        <v>6</v>
      </c>
      <c r="F7" s="14">
        <v>6</v>
      </c>
      <c r="G7" s="14">
        <v>20</v>
      </c>
      <c r="H7" s="14">
        <v>84.1</v>
      </c>
      <c r="I7" s="14">
        <v>0</v>
      </c>
      <c r="J7" s="14">
        <v>1</v>
      </c>
      <c r="K7" s="14">
        <v>1.4</v>
      </c>
      <c r="L7" s="14">
        <v>0</v>
      </c>
      <c r="M7" s="14">
        <v>0</v>
      </c>
      <c r="N7" s="14">
        <v>48.8</v>
      </c>
      <c r="O7" s="14">
        <v>1500</v>
      </c>
      <c r="P7" s="46">
        <v>0.32777777777777778</v>
      </c>
      <c r="Q7" s="10"/>
      <c r="R7" s="41"/>
      <c r="S7" s="30">
        <f t="shared" ref="S7:S29" si="3">N7-24.924</f>
        <v>23.875999999999998</v>
      </c>
      <c r="T7" s="30">
        <v>1</v>
      </c>
      <c r="U7" s="30">
        <f t="shared" ref="U7:U20" si="4">S6-S7</f>
        <v>1.5</v>
      </c>
      <c r="V7" s="30">
        <f>U7-(U7/4.45)</f>
        <v>1.1629213483146068</v>
      </c>
      <c r="W7" s="30">
        <f t="shared" ref="W7:W20" si="5">U7-V7</f>
        <v>0.33707865168539319</v>
      </c>
      <c r="X7" s="30">
        <f>V7+V6</f>
        <v>1.1629213483146068</v>
      </c>
      <c r="Y7" s="30">
        <f>11.42-X7</f>
        <v>10.257078651685394</v>
      </c>
      <c r="Z7" s="30">
        <f t="shared" ref="Z7:Z20" si="6">S6-V7</f>
        <v>24.21307865168539</v>
      </c>
      <c r="AA7" s="31">
        <f t="shared" ref="AA7:AA20" si="7">Y7/Z7</f>
        <v>0.42361728548597571</v>
      </c>
      <c r="AC7" s="18"/>
      <c r="AD7" s="18"/>
      <c r="AE7" s="24"/>
      <c r="AF7" s="25"/>
      <c r="AG7" s="19">
        <v>1</v>
      </c>
      <c r="AH7" s="19">
        <f t="shared" ref="AH7:AH20" si="8">AG7-AG6</f>
        <v>1</v>
      </c>
      <c r="AI7" s="19">
        <f t="shared" si="0"/>
        <v>75</v>
      </c>
      <c r="AJ7" s="21">
        <v>0.28699999999999998</v>
      </c>
      <c r="AK7" s="19">
        <f t="shared" ref="AK7:AK20" si="9">((($AJ$6*$AJ$6)*3.14)/4)*(AI7/100)</f>
        <v>4.8494748749999997E-2</v>
      </c>
      <c r="AL7" s="19">
        <f t="shared" ref="AL7:AL20" si="10">AL6-W7</f>
        <v>13.618921348314606</v>
      </c>
      <c r="AM7" s="19">
        <f t="shared" ref="AM7:AM20" si="11">S7/AK7</f>
        <v>492.34196723207066</v>
      </c>
      <c r="AN7" s="19">
        <f t="shared" si="1"/>
        <v>280.83290870363788</v>
      </c>
      <c r="AO7" s="19">
        <f t="shared" ref="AO7:AO20" si="12">(AA7/(1-AA7))</f>
        <v>0.73495834420216366</v>
      </c>
      <c r="AP7" s="19">
        <f t="shared" si="2"/>
        <v>492.34196723207066</v>
      </c>
      <c r="AQ7" s="35"/>
      <c r="AS7" s="10"/>
      <c r="AT7" s="48"/>
      <c r="AU7" s="48"/>
      <c r="AV7" s="48"/>
      <c r="AW7" s="10"/>
    </row>
    <row r="8" spans="2:49" x14ac:dyDescent="0.25">
      <c r="B8" s="12" t="s">
        <v>172</v>
      </c>
      <c r="C8" s="13">
        <v>50.7</v>
      </c>
      <c r="D8" s="14">
        <v>7</v>
      </c>
      <c r="E8" s="14">
        <v>7</v>
      </c>
      <c r="F8" s="14">
        <v>7</v>
      </c>
      <c r="G8" s="14">
        <v>20</v>
      </c>
      <c r="H8" s="14">
        <v>47.1</v>
      </c>
      <c r="I8" s="14">
        <v>1</v>
      </c>
      <c r="J8" s="14">
        <v>0</v>
      </c>
      <c r="K8" s="14">
        <v>1.4</v>
      </c>
      <c r="L8" s="14">
        <v>0</v>
      </c>
      <c r="M8" s="14">
        <v>0</v>
      </c>
      <c r="N8" s="14">
        <v>46.9</v>
      </c>
      <c r="O8" s="14">
        <v>1900</v>
      </c>
      <c r="P8" s="46">
        <v>0.32777777777777778</v>
      </c>
      <c r="Q8" s="10"/>
      <c r="R8" s="41"/>
      <c r="S8" s="30">
        <f t="shared" si="3"/>
        <v>21.975999999999999</v>
      </c>
      <c r="T8" s="30">
        <v>2</v>
      </c>
      <c r="U8" s="30">
        <f t="shared" si="4"/>
        <v>1.8999999999999986</v>
      </c>
      <c r="V8" s="30">
        <f t="shared" ref="V8:V29" si="13">U8-(U8/4.45)</f>
        <v>1.4730337078651674</v>
      </c>
      <c r="W8" s="30">
        <f t="shared" si="5"/>
        <v>0.42696629213483117</v>
      </c>
      <c r="X8" s="30">
        <f>V7+V8+V6</f>
        <v>2.6359550561797742</v>
      </c>
      <c r="Y8" s="30">
        <f t="shared" ref="Y8:Y29" si="14">11.42-X8</f>
        <v>8.7840449438202253</v>
      </c>
      <c r="Z8" s="30">
        <f t="shared" si="6"/>
        <v>22.402966292134831</v>
      </c>
      <c r="AA8" s="31">
        <f t="shared" si="7"/>
        <v>0.39209294114342808</v>
      </c>
      <c r="AC8" s="18"/>
      <c r="AD8" s="18"/>
      <c r="AE8" s="24"/>
      <c r="AF8" s="25"/>
      <c r="AG8" s="19">
        <v>2</v>
      </c>
      <c r="AH8" s="19">
        <f t="shared" si="8"/>
        <v>1</v>
      </c>
      <c r="AI8" s="19">
        <f t="shared" si="0"/>
        <v>75</v>
      </c>
      <c r="AJ8" s="21">
        <v>0.28699999999999998</v>
      </c>
      <c r="AK8" s="19">
        <f t="shared" si="9"/>
        <v>4.8494748749999997E-2</v>
      </c>
      <c r="AL8" s="19">
        <f t="shared" si="10"/>
        <v>13.191955056179776</v>
      </c>
      <c r="AM8" s="19">
        <f t="shared" si="11"/>
        <v>453.16246741045342</v>
      </c>
      <c r="AN8" s="19">
        <f t="shared" si="1"/>
        <v>272.02852672125198</v>
      </c>
      <c r="AO8" s="19">
        <f t="shared" si="12"/>
        <v>0.64498830114084515</v>
      </c>
      <c r="AP8" s="19">
        <f t="shared" si="2"/>
        <v>453.16246741045342</v>
      </c>
      <c r="AQ8" s="35"/>
      <c r="AS8" s="10"/>
      <c r="AT8" s="48"/>
      <c r="AU8" s="48"/>
      <c r="AV8" s="48"/>
      <c r="AW8" s="10"/>
    </row>
    <row r="9" spans="2:49" x14ac:dyDescent="0.25">
      <c r="B9" s="12" t="s">
        <v>173</v>
      </c>
      <c r="C9" s="13">
        <v>41.2</v>
      </c>
      <c r="D9" s="14">
        <v>8</v>
      </c>
      <c r="E9" s="14">
        <v>8</v>
      </c>
      <c r="F9" s="14">
        <v>8</v>
      </c>
      <c r="G9" s="14">
        <v>20</v>
      </c>
      <c r="H9" s="14">
        <v>85.1</v>
      </c>
      <c r="I9" s="14">
        <v>1</v>
      </c>
      <c r="J9" s="14">
        <v>0</v>
      </c>
      <c r="K9" s="14">
        <v>1.4</v>
      </c>
      <c r="L9" s="14">
        <v>0</v>
      </c>
      <c r="M9" s="14">
        <v>0</v>
      </c>
      <c r="N9" s="14">
        <v>45.8</v>
      </c>
      <c r="O9" s="14">
        <v>1100</v>
      </c>
      <c r="P9" s="46">
        <v>0.31319444444444444</v>
      </c>
      <c r="Q9" s="10"/>
      <c r="R9" s="41"/>
      <c r="S9" s="30">
        <f t="shared" si="3"/>
        <v>20.875999999999998</v>
      </c>
      <c r="T9" s="30">
        <v>3</v>
      </c>
      <c r="U9" s="30">
        <f t="shared" si="4"/>
        <v>1.1000000000000014</v>
      </c>
      <c r="V9" s="30">
        <f t="shared" si="13"/>
        <v>0.85280898876404609</v>
      </c>
      <c r="W9" s="30">
        <f t="shared" si="5"/>
        <v>0.24719101123595533</v>
      </c>
      <c r="X9" s="30">
        <f>V9+V8+V7+V6</f>
        <v>3.4887640449438204</v>
      </c>
      <c r="Y9" s="30">
        <f t="shared" si="14"/>
        <v>7.9312359550561791</v>
      </c>
      <c r="Z9" s="30">
        <f t="shared" si="6"/>
        <v>21.123191011235953</v>
      </c>
      <c r="AA9" s="31">
        <f t="shared" si="7"/>
        <v>0.37547527505845857</v>
      </c>
      <c r="AC9" s="18"/>
      <c r="AD9" s="18"/>
      <c r="AE9" s="24"/>
      <c r="AF9" s="25"/>
      <c r="AG9" s="19">
        <v>3</v>
      </c>
      <c r="AH9" s="19">
        <f t="shared" si="8"/>
        <v>1</v>
      </c>
      <c r="AI9" s="19">
        <f t="shared" si="0"/>
        <v>75</v>
      </c>
      <c r="AJ9" s="21">
        <v>0.28699999999999998</v>
      </c>
      <c r="AK9" s="19">
        <f t="shared" si="9"/>
        <v>4.8494748749999997E-2</v>
      </c>
      <c r="AL9" s="19">
        <f t="shared" si="10"/>
        <v>12.94476404494382</v>
      </c>
      <c r="AM9" s="19">
        <f t="shared" si="11"/>
        <v>430.47959909267496</v>
      </c>
      <c r="AN9" s="19">
        <f t="shared" si="1"/>
        <v>266.93125294197591</v>
      </c>
      <c r="AO9" s="19">
        <f t="shared" si="12"/>
        <v>0.60121763008438922</v>
      </c>
      <c r="AP9" s="19">
        <f t="shared" si="2"/>
        <v>430.47959909267496</v>
      </c>
      <c r="AQ9" s="35"/>
      <c r="AS9" s="10"/>
      <c r="AT9" s="48"/>
      <c r="AU9" s="48"/>
      <c r="AV9" s="48"/>
      <c r="AW9" s="10"/>
    </row>
    <row r="10" spans="2:49" x14ac:dyDescent="0.25">
      <c r="B10" s="12" t="s">
        <v>174</v>
      </c>
      <c r="C10" s="13">
        <v>20.7</v>
      </c>
      <c r="D10" s="14">
        <v>9</v>
      </c>
      <c r="E10" s="14">
        <v>9</v>
      </c>
      <c r="F10" s="14">
        <v>9</v>
      </c>
      <c r="G10" s="14">
        <v>20</v>
      </c>
      <c r="H10" s="14">
        <v>9.5</v>
      </c>
      <c r="I10" s="14">
        <v>1</v>
      </c>
      <c r="J10" s="14">
        <v>0</v>
      </c>
      <c r="K10" s="14">
        <v>1.4</v>
      </c>
      <c r="L10" s="14">
        <v>0</v>
      </c>
      <c r="M10" s="14">
        <v>0</v>
      </c>
      <c r="N10" s="14">
        <v>44.8</v>
      </c>
      <c r="O10" s="14">
        <v>1000</v>
      </c>
      <c r="P10" s="46">
        <v>0.31180555555555556</v>
      </c>
      <c r="Q10" s="10"/>
      <c r="R10" s="41"/>
      <c r="S10" s="30">
        <f t="shared" si="3"/>
        <v>19.875999999999998</v>
      </c>
      <c r="T10" s="30">
        <v>4</v>
      </c>
      <c r="U10" s="30">
        <f t="shared" si="4"/>
        <v>1</v>
      </c>
      <c r="V10" s="30">
        <f t="shared" si="13"/>
        <v>0.7752808988764045</v>
      </c>
      <c r="W10" s="30">
        <f t="shared" si="5"/>
        <v>0.2247191011235955</v>
      </c>
      <c r="X10" s="30">
        <f>V10+V9+V8+V7+V6</f>
        <v>4.2640449438202248</v>
      </c>
      <c r="Y10" s="30">
        <f t="shared" si="14"/>
        <v>7.1559550561797751</v>
      </c>
      <c r="Z10" s="30">
        <f t="shared" si="6"/>
        <v>20.100719101123595</v>
      </c>
      <c r="AA10" s="31">
        <f t="shared" si="7"/>
        <v>0.35600492799184336</v>
      </c>
      <c r="AC10" s="18"/>
      <c r="AD10" s="18"/>
      <c r="AE10" s="24"/>
      <c r="AF10" s="25"/>
      <c r="AG10" s="19">
        <v>4</v>
      </c>
      <c r="AH10" s="19">
        <f t="shared" si="8"/>
        <v>1</v>
      </c>
      <c r="AI10" s="19">
        <f t="shared" si="0"/>
        <v>75</v>
      </c>
      <c r="AJ10" s="21">
        <v>0.28699999999999998</v>
      </c>
      <c r="AK10" s="19">
        <f t="shared" si="9"/>
        <v>4.8494748749999997E-2</v>
      </c>
      <c r="AL10" s="19">
        <f t="shared" si="10"/>
        <v>12.720044943820225</v>
      </c>
      <c r="AM10" s="19">
        <f t="shared" si="11"/>
        <v>409.85880971287634</v>
      </c>
      <c r="AN10" s="19">
        <f t="shared" si="1"/>
        <v>262.29736768808863</v>
      </c>
      <c r="AO10" s="19">
        <f t="shared" si="12"/>
        <v>0.55280691338478805</v>
      </c>
      <c r="AP10" s="19">
        <f t="shared" si="2"/>
        <v>409.85880971287634</v>
      </c>
      <c r="AQ10" s="35"/>
      <c r="AS10" s="10"/>
      <c r="AT10" s="48"/>
      <c r="AU10" s="48"/>
      <c r="AV10" s="48"/>
      <c r="AW10" s="10"/>
    </row>
    <row r="11" spans="2:49" x14ac:dyDescent="0.25">
      <c r="B11" s="12" t="s">
        <v>175</v>
      </c>
      <c r="C11" s="13">
        <v>20.3</v>
      </c>
      <c r="D11" s="14">
        <v>10</v>
      </c>
      <c r="E11" s="14">
        <v>10</v>
      </c>
      <c r="F11" s="14">
        <v>10</v>
      </c>
      <c r="G11" s="14">
        <v>20</v>
      </c>
      <c r="H11" s="14">
        <v>6.5</v>
      </c>
      <c r="I11" s="14">
        <v>1</v>
      </c>
      <c r="J11" s="14">
        <v>1</v>
      </c>
      <c r="K11" s="14">
        <v>1.5</v>
      </c>
      <c r="L11" s="14">
        <v>0</v>
      </c>
      <c r="M11" s="14">
        <v>0</v>
      </c>
      <c r="N11" s="14">
        <v>44.5</v>
      </c>
      <c r="O11" s="14">
        <v>300</v>
      </c>
      <c r="P11" s="46">
        <v>0.31458333333333333</v>
      </c>
      <c r="Q11" s="10"/>
      <c r="R11" s="41"/>
      <c r="S11" s="30">
        <f t="shared" si="3"/>
        <v>19.576000000000001</v>
      </c>
      <c r="T11" s="30">
        <v>5</v>
      </c>
      <c r="U11" s="30">
        <f t="shared" si="4"/>
        <v>0.29999999999999716</v>
      </c>
      <c r="V11" s="30">
        <f t="shared" si="13"/>
        <v>0.23258426966291915</v>
      </c>
      <c r="W11" s="30">
        <f t="shared" si="5"/>
        <v>6.7415730337078011E-2</v>
      </c>
      <c r="X11" s="30">
        <f>V11+V10+V9+V8+V7+V6</f>
        <v>4.4966292134831445</v>
      </c>
      <c r="Y11" s="30">
        <f t="shared" si="14"/>
        <v>6.9233707865168554</v>
      </c>
      <c r="Z11" s="30">
        <f t="shared" si="6"/>
        <v>19.643415730337079</v>
      </c>
      <c r="AA11" s="31">
        <f t="shared" si="7"/>
        <v>0.35245249001295004</v>
      </c>
      <c r="AC11" s="18"/>
      <c r="AD11" s="18"/>
      <c r="AE11" s="24"/>
      <c r="AF11" s="25"/>
      <c r="AG11" s="19">
        <v>5</v>
      </c>
      <c r="AH11" s="19">
        <f t="shared" si="8"/>
        <v>1</v>
      </c>
      <c r="AI11" s="19">
        <f t="shared" si="0"/>
        <v>75</v>
      </c>
      <c r="AJ11" s="21">
        <v>0.28699999999999998</v>
      </c>
      <c r="AK11" s="19">
        <f t="shared" si="9"/>
        <v>4.8494748749999997E-2</v>
      </c>
      <c r="AL11" s="19">
        <f t="shared" si="10"/>
        <v>12.652629213483147</v>
      </c>
      <c r="AM11" s="19">
        <f t="shared" si="11"/>
        <v>403.67257289893683</v>
      </c>
      <c r="AN11" s="19">
        <f t="shared" si="1"/>
        <v>260.90720211192246</v>
      </c>
      <c r="AO11" s="19">
        <f t="shared" si="12"/>
        <v>0.5442882330286446</v>
      </c>
      <c r="AP11" s="19">
        <f t="shared" si="2"/>
        <v>403.67257289893683</v>
      </c>
      <c r="AQ11" s="35"/>
      <c r="AS11" s="10"/>
      <c r="AT11" s="48"/>
      <c r="AU11" s="48"/>
      <c r="AV11" s="48"/>
      <c r="AW11" s="10"/>
    </row>
    <row r="12" spans="2:49" x14ac:dyDescent="0.25">
      <c r="B12" s="12" t="s">
        <v>176</v>
      </c>
      <c r="C12" s="13">
        <v>18.8</v>
      </c>
      <c r="D12" s="14">
        <v>12</v>
      </c>
      <c r="E12" s="14">
        <v>12</v>
      </c>
      <c r="F12" s="14">
        <v>12</v>
      </c>
      <c r="G12" s="14">
        <v>20</v>
      </c>
      <c r="H12" s="14">
        <v>5.6</v>
      </c>
      <c r="I12" s="14">
        <v>0</v>
      </c>
      <c r="J12" s="14">
        <v>0</v>
      </c>
      <c r="K12" s="14">
        <v>1.5</v>
      </c>
      <c r="L12" s="14">
        <v>0</v>
      </c>
      <c r="M12" s="14">
        <v>0</v>
      </c>
      <c r="N12" s="14">
        <v>44.2</v>
      </c>
      <c r="O12" s="14">
        <v>300</v>
      </c>
      <c r="P12" s="46">
        <v>0.31458333333333333</v>
      </c>
      <c r="Q12" s="10"/>
      <c r="R12" s="41"/>
      <c r="S12" s="30">
        <f t="shared" si="3"/>
        <v>19.276000000000003</v>
      </c>
      <c r="T12" s="30">
        <v>6</v>
      </c>
      <c r="U12" s="30">
        <f t="shared" si="4"/>
        <v>0.29999999999999716</v>
      </c>
      <c r="V12" s="30">
        <f t="shared" si="13"/>
        <v>0.23258426966291915</v>
      </c>
      <c r="W12" s="30">
        <f t="shared" si="5"/>
        <v>6.7415730337078011E-2</v>
      </c>
      <c r="X12" s="30">
        <f>V12+V11+V10+V9+V8+V7+V6</f>
        <v>4.7292134831460633</v>
      </c>
      <c r="Y12" s="30">
        <f t="shared" si="14"/>
        <v>6.6907865168539367</v>
      </c>
      <c r="Z12" s="30">
        <f t="shared" si="6"/>
        <v>19.343415730337082</v>
      </c>
      <c r="AA12" s="31">
        <f t="shared" si="7"/>
        <v>0.34589477939826824</v>
      </c>
      <c r="AC12" s="18"/>
      <c r="AD12" s="18"/>
      <c r="AE12" s="24"/>
      <c r="AF12" s="25"/>
      <c r="AG12" s="19">
        <v>7</v>
      </c>
      <c r="AH12" s="19">
        <f t="shared" si="8"/>
        <v>2</v>
      </c>
      <c r="AI12" s="19">
        <f t="shared" si="0"/>
        <v>74</v>
      </c>
      <c r="AJ12" s="21">
        <v>0.28699999999999998</v>
      </c>
      <c r="AK12" s="19">
        <f t="shared" si="9"/>
        <v>4.7848152099999992E-2</v>
      </c>
      <c r="AL12" s="19">
        <f t="shared" si="10"/>
        <v>12.585213483146068</v>
      </c>
      <c r="AM12" s="19">
        <f t="shared" si="11"/>
        <v>402.85777305911898</v>
      </c>
      <c r="AN12" s="19">
        <f t="shared" si="1"/>
        <v>263.02402351596919</v>
      </c>
      <c r="AO12" s="19">
        <f t="shared" si="12"/>
        <v>0.52880602157565548</v>
      </c>
      <c r="AP12" s="19">
        <f t="shared" si="2"/>
        <v>402.85777305911898</v>
      </c>
      <c r="AQ12" s="35"/>
      <c r="AS12" s="10"/>
      <c r="AT12" s="48"/>
      <c r="AU12" s="48"/>
      <c r="AV12" s="48"/>
      <c r="AW12" s="10"/>
    </row>
    <row r="13" spans="2:49" x14ac:dyDescent="0.25">
      <c r="B13" s="12" t="s">
        <v>177</v>
      </c>
      <c r="C13" s="13">
        <v>20.9</v>
      </c>
      <c r="D13" s="14">
        <v>13</v>
      </c>
      <c r="E13" s="14">
        <v>13</v>
      </c>
      <c r="F13" s="14">
        <v>13</v>
      </c>
      <c r="G13" s="14">
        <v>20</v>
      </c>
      <c r="H13" s="14">
        <v>5.8</v>
      </c>
      <c r="I13" s="14">
        <v>2</v>
      </c>
      <c r="J13" s="14">
        <v>0</v>
      </c>
      <c r="K13" s="14">
        <v>1.5</v>
      </c>
      <c r="L13" s="14">
        <v>0</v>
      </c>
      <c r="M13" s="14">
        <v>0</v>
      </c>
      <c r="N13" s="14">
        <v>44</v>
      </c>
      <c r="O13" s="14">
        <v>200</v>
      </c>
      <c r="P13" s="46">
        <v>0.31597222222222221</v>
      </c>
      <c r="Q13" s="10"/>
      <c r="R13" s="41"/>
      <c r="S13" s="30">
        <f t="shared" si="3"/>
        <v>19.076000000000001</v>
      </c>
      <c r="T13" s="30">
        <v>7</v>
      </c>
      <c r="U13" s="30">
        <f t="shared" si="4"/>
        <v>0.20000000000000284</v>
      </c>
      <c r="V13" s="30">
        <f t="shared" si="13"/>
        <v>0.1550561797752831</v>
      </c>
      <c r="W13" s="30">
        <f t="shared" si="5"/>
        <v>4.4943820224719738E-2</v>
      </c>
      <c r="X13" s="30">
        <f>V13+V12+V11+V10+V9+V8+V7+V6</f>
        <v>4.884269662921346</v>
      </c>
      <c r="Y13" s="30">
        <f t="shared" si="14"/>
        <v>6.5357303370786539</v>
      </c>
      <c r="Z13" s="30">
        <f t="shared" si="6"/>
        <v>19.120943820224721</v>
      </c>
      <c r="AA13" s="31">
        <f t="shared" si="7"/>
        <v>0.34181002771242086</v>
      </c>
      <c r="AC13" s="18"/>
      <c r="AD13" s="18"/>
      <c r="AE13" s="24"/>
      <c r="AF13" s="25"/>
      <c r="AG13" s="19">
        <v>8</v>
      </c>
      <c r="AH13" s="19">
        <f t="shared" si="8"/>
        <v>1</v>
      </c>
      <c r="AI13" s="19">
        <f t="shared" si="0"/>
        <v>75</v>
      </c>
      <c r="AJ13" s="21">
        <v>0.28699999999999998</v>
      </c>
      <c r="AK13" s="19">
        <f t="shared" si="9"/>
        <v>4.8494748749999997E-2</v>
      </c>
      <c r="AL13" s="19">
        <f t="shared" si="10"/>
        <v>12.540269662921348</v>
      </c>
      <c r="AM13" s="19">
        <f t="shared" si="11"/>
        <v>393.36217820903755</v>
      </c>
      <c r="AN13" s="19">
        <f t="shared" si="1"/>
        <v>258.59025948497873</v>
      </c>
      <c r="AO13" s="19">
        <f t="shared" si="12"/>
        <v>0.5193181939925936</v>
      </c>
      <c r="AP13" s="19">
        <f t="shared" si="2"/>
        <v>393.36217820903755</v>
      </c>
      <c r="AQ13" s="35"/>
      <c r="AS13" s="10"/>
      <c r="AT13" s="48"/>
      <c r="AU13" s="48"/>
      <c r="AV13" s="48"/>
      <c r="AW13" s="10"/>
    </row>
    <row r="14" spans="2:49" x14ac:dyDescent="0.25">
      <c r="B14" s="12" t="s">
        <v>178</v>
      </c>
      <c r="C14" s="13">
        <v>18.3</v>
      </c>
      <c r="D14" s="14">
        <v>13</v>
      </c>
      <c r="E14" s="14">
        <v>13</v>
      </c>
      <c r="F14" s="14">
        <v>13</v>
      </c>
      <c r="G14" s="14">
        <v>20</v>
      </c>
      <c r="H14" s="14">
        <v>5.8</v>
      </c>
      <c r="I14" s="14">
        <v>1</v>
      </c>
      <c r="J14" s="14">
        <v>0</v>
      </c>
      <c r="K14" s="14">
        <v>1.5</v>
      </c>
      <c r="L14" s="14">
        <v>0</v>
      </c>
      <c r="M14" s="14">
        <v>0</v>
      </c>
      <c r="N14" s="14">
        <v>43.7</v>
      </c>
      <c r="O14" s="14">
        <v>300</v>
      </c>
      <c r="P14" s="46">
        <v>0.31527777777777777</v>
      </c>
      <c r="Q14" s="10"/>
      <c r="R14" s="41"/>
      <c r="S14" s="30">
        <f t="shared" si="3"/>
        <v>18.776000000000003</v>
      </c>
      <c r="T14" s="30">
        <v>8</v>
      </c>
      <c r="U14" s="30">
        <f t="shared" si="4"/>
        <v>0.29999999999999716</v>
      </c>
      <c r="V14" s="30">
        <f t="shared" si="13"/>
        <v>0.23258426966291915</v>
      </c>
      <c r="W14" s="30">
        <f t="shared" si="5"/>
        <v>6.7415730337078011E-2</v>
      </c>
      <c r="X14" s="30">
        <f>V14+V13+V12+V11+V10+V9+V8+V7+V6</f>
        <v>5.1168539325842648</v>
      </c>
      <c r="Y14" s="30">
        <f t="shared" si="14"/>
        <v>6.3031460674157351</v>
      </c>
      <c r="Z14" s="30">
        <f t="shared" si="6"/>
        <v>18.843415730337082</v>
      </c>
      <c r="AA14" s="31">
        <f t="shared" si="7"/>
        <v>0.33450124741810711</v>
      </c>
      <c r="AC14" s="18"/>
      <c r="AD14" s="18"/>
      <c r="AE14" s="24"/>
      <c r="AF14" s="25"/>
      <c r="AG14" s="19">
        <v>8</v>
      </c>
      <c r="AH14" s="19">
        <f t="shared" si="8"/>
        <v>0</v>
      </c>
      <c r="AI14" s="19">
        <f t="shared" si="0"/>
        <v>76</v>
      </c>
      <c r="AJ14" s="21">
        <v>0.28699999999999998</v>
      </c>
      <c r="AK14" s="19">
        <f t="shared" si="9"/>
        <v>4.9141345399999994E-2</v>
      </c>
      <c r="AL14" s="19">
        <f t="shared" si="10"/>
        <v>12.47285393258427</v>
      </c>
      <c r="AM14" s="19">
        <f t="shared" si="11"/>
        <v>382.08152111358362</v>
      </c>
      <c r="AN14" s="19">
        <f t="shared" si="1"/>
        <v>253.81588214685451</v>
      </c>
      <c r="AO14" s="19">
        <f t="shared" si="12"/>
        <v>0.50263241834844019</v>
      </c>
      <c r="AP14" s="19">
        <f t="shared" si="2"/>
        <v>382.08152111358362</v>
      </c>
      <c r="AQ14" s="35"/>
      <c r="AS14" s="10"/>
      <c r="AT14" s="48"/>
      <c r="AU14" s="48"/>
      <c r="AV14" s="48"/>
      <c r="AW14" s="10"/>
    </row>
    <row r="15" spans="2:49" x14ac:dyDescent="0.25">
      <c r="B15" s="12" t="s">
        <v>179</v>
      </c>
      <c r="C15" s="13">
        <v>20.8</v>
      </c>
      <c r="D15" s="14">
        <v>13</v>
      </c>
      <c r="E15" s="14">
        <v>13</v>
      </c>
      <c r="F15" s="14">
        <v>13</v>
      </c>
      <c r="G15" s="14">
        <v>20</v>
      </c>
      <c r="H15" s="14">
        <v>7.9</v>
      </c>
      <c r="I15" s="14">
        <v>1</v>
      </c>
      <c r="J15" s="14">
        <v>0</v>
      </c>
      <c r="K15" s="14">
        <v>1.4</v>
      </c>
      <c r="L15" s="14">
        <v>0</v>
      </c>
      <c r="M15" s="14">
        <v>0</v>
      </c>
      <c r="N15" s="14">
        <v>43.5</v>
      </c>
      <c r="O15" s="14">
        <v>200</v>
      </c>
      <c r="P15" s="46">
        <v>0.31875000000000003</v>
      </c>
      <c r="Q15" s="10"/>
      <c r="R15" s="41"/>
      <c r="S15" s="30">
        <f t="shared" si="3"/>
        <v>18.576000000000001</v>
      </c>
      <c r="T15" s="30">
        <v>9</v>
      </c>
      <c r="U15" s="30">
        <f t="shared" si="4"/>
        <v>0.20000000000000284</v>
      </c>
      <c r="V15" s="30">
        <f t="shared" si="13"/>
        <v>0.1550561797752831</v>
      </c>
      <c r="W15" s="30">
        <f t="shared" si="5"/>
        <v>4.4943820224719738E-2</v>
      </c>
      <c r="X15" s="30">
        <f>V15+V14+V13+V12+V11+V10+V9+V8+V7+V6</f>
        <v>5.2719101123595475</v>
      </c>
      <c r="Y15" s="30">
        <f t="shared" si="14"/>
        <v>6.1480898876404524</v>
      </c>
      <c r="Z15" s="30">
        <f t="shared" si="6"/>
        <v>18.620943820224721</v>
      </c>
      <c r="AA15" s="31">
        <f t="shared" si="7"/>
        <v>0.33017069097017748</v>
      </c>
      <c r="AC15" s="18"/>
      <c r="AD15" s="18"/>
      <c r="AE15" s="24"/>
      <c r="AF15" s="25"/>
      <c r="AG15" s="19">
        <v>8</v>
      </c>
      <c r="AH15" s="19">
        <f t="shared" si="8"/>
        <v>0</v>
      </c>
      <c r="AI15" s="19">
        <f t="shared" si="0"/>
        <v>76</v>
      </c>
      <c r="AJ15" s="21">
        <v>0.28699999999999998</v>
      </c>
      <c r="AK15" s="19">
        <f t="shared" si="9"/>
        <v>4.9141345399999994E-2</v>
      </c>
      <c r="AL15" s="19">
        <f t="shared" si="10"/>
        <v>12.42791011235955</v>
      </c>
      <c r="AM15" s="19">
        <f t="shared" si="11"/>
        <v>378.01162847283382</v>
      </c>
      <c r="AN15" s="19">
        <f t="shared" si="1"/>
        <v>252.9012995309557</v>
      </c>
      <c r="AO15" s="19">
        <f t="shared" si="12"/>
        <v>0.49291765307850605</v>
      </c>
      <c r="AP15" s="19">
        <f t="shared" si="2"/>
        <v>378.01162847283382</v>
      </c>
      <c r="AQ15" s="35"/>
      <c r="AS15" s="10"/>
      <c r="AT15" s="48"/>
      <c r="AU15" s="48"/>
      <c r="AV15" s="48"/>
      <c r="AW15" s="10"/>
    </row>
    <row r="16" spans="2:49" x14ac:dyDescent="0.25">
      <c r="B16" s="12" t="s">
        <v>180</v>
      </c>
      <c r="C16" s="13">
        <v>22.3</v>
      </c>
      <c r="D16" s="14">
        <v>14</v>
      </c>
      <c r="E16" s="14">
        <v>14</v>
      </c>
      <c r="F16" s="14">
        <v>14</v>
      </c>
      <c r="G16" s="14">
        <v>20</v>
      </c>
      <c r="H16" s="14">
        <v>75.8</v>
      </c>
      <c r="I16" s="14">
        <v>1</v>
      </c>
      <c r="J16" s="14">
        <v>0</v>
      </c>
      <c r="K16" s="14">
        <v>1.4</v>
      </c>
      <c r="L16" s="14">
        <v>0</v>
      </c>
      <c r="M16" s="14">
        <v>0</v>
      </c>
      <c r="N16" s="14">
        <v>43.2</v>
      </c>
      <c r="O16" s="14">
        <v>300</v>
      </c>
      <c r="P16" s="46">
        <v>0.31805555555555554</v>
      </c>
      <c r="Q16" s="10"/>
      <c r="R16" s="41"/>
      <c r="S16" s="30">
        <f t="shared" si="3"/>
        <v>18.276000000000003</v>
      </c>
      <c r="T16" s="30">
        <v>10</v>
      </c>
      <c r="U16" s="30">
        <f t="shared" si="4"/>
        <v>0.29999999999999716</v>
      </c>
      <c r="V16" s="30">
        <f t="shared" si="13"/>
        <v>0.23258426966291915</v>
      </c>
      <c r="W16" s="30">
        <f t="shared" si="5"/>
        <v>6.7415730337078011E-2</v>
      </c>
      <c r="X16" s="30">
        <f>V16+V15+V14+V13+V12+V11+V10+V9+V8+V7+V6</f>
        <v>5.5044943820224681</v>
      </c>
      <c r="Y16" s="30">
        <f t="shared" si="14"/>
        <v>5.9155056179775318</v>
      </c>
      <c r="Z16" s="30">
        <f t="shared" si="6"/>
        <v>18.343415730337082</v>
      </c>
      <c r="AA16" s="31">
        <f t="shared" si="7"/>
        <v>0.32248659164357429</v>
      </c>
      <c r="AC16" s="18"/>
      <c r="AD16" s="18"/>
      <c r="AE16" s="24"/>
      <c r="AF16" s="25"/>
      <c r="AG16" s="19">
        <v>9</v>
      </c>
      <c r="AH16" s="19">
        <f t="shared" si="8"/>
        <v>1</v>
      </c>
      <c r="AI16" s="19">
        <f t="shared" si="0"/>
        <v>75</v>
      </c>
      <c r="AJ16" s="21">
        <v>0.28699999999999998</v>
      </c>
      <c r="AK16" s="19">
        <f t="shared" si="9"/>
        <v>4.8494748749999997E-2</v>
      </c>
      <c r="AL16" s="19">
        <f t="shared" si="10"/>
        <v>12.360494382022472</v>
      </c>
      <c r="AM16" s="19">
        <f t="shared" si="11"/>
        <v>376.86554670519877</v>
      </c>
      <c r="AN16" s="19">
        <f t="shared" si="1"/>
        <v>254.88315128186889</v>
      </c>
      <c r="AO16" s="19">
        <f t="shared" si="12"/>
        <v>0.47598554901797724</v>
      </c>
      <c r="AP16" s="19">
        <f t="shared" si="2"/>
        <v>376.86554670519877</v>
      </c>
      <c r="AQ16" s="35"/>
      <c r="AS16" s="10"/>
      <c r="AT16" s="48"/>
      <c r="AU16" s="48"/>
      <c r="AV16" s="48"/>
      <c r="AW16" s="10"/>
    </row>
    <row r="17" spans="2:49" x14ac:dyDescent="0.25">
      <c r="B17" s="15" t="s">
        <v>181</v>
      </c>
      <c r="C17" s="13">
        <v>23.6</v>
      </c>
      <c r="D17" s="14">
        <v>15</v>
      </c>
      <c r="E17" s="14">
        <v>15</v>
      </c>
      <c r="F17" s="14">
        <v>15</v>
      </c>
      <c r="G17" s="14">
        <v>20</v>
      </c>
      <c r="H17" s="14">
        <v>57.6</v>
      </c>
      <c r="I17" s="14">
        <v>1</v>
      </c>
      <c r="J17" s="14">
        <v>1</v>
      </c>
      <c r="K17" s="14">
        <v>1.4</v>
      </c>
      <c r="L17" s="14">
        <v>0</v>
      </c>
      <c r="M17" s="14">
        <v>0</v>
      </c>
      <c r="N17" s="14">
        <v>42.4</v>
      </c>
      <c r="O17" s="14">
        <v>800</v>
      </c>
      <c r="P17" s="46">
        <v>0.31944444444444448</v>
      </c>
      <c r="Q17" s="10"/>
      <c r="R17" s="41"/>
      <c r="S17" s="30">
        <f t="shared" si="3"/>
        <v>17.475999999999999</v>
      </c>
      <c r="T17" s="30">
        <v>11</v>
      </c>
      <c r="U17" s="30">
        <f t="shared" si="4"/>
        <v>0.80000000000000426</v>
      </c>
      <c r="V17" s="30">
        <f t="shared" si="13"/>
        <v>0.62022471910112698</v>
      </c>
      <c r="W17" s="30">
        <f t="shared" si="5"/>
        <v>0.17977528089887729</v>
      </c>
      <c r="X17" s="30">
        <f>V17+V16+V15+V14+V13+V12+V11+V10+V9+V8+V7+V6</f>
        <v>6.1247191011235955</v>
      </c>
      <c r="Y17" s="30">
        <f t="shared" si="14"/>
        <v>5.2952808988764044</v>
      </c>
      <c r="Z17" s="30">
        <f t="shared" si="6"/>
        <v>17.655775280898876</v>
      </c>
      <c r="AA17" s="31">
        <f t="shared" si="7"/>
        <v>0.29991777843962314</v>
      </c>
      <c r="AC17" s="18"/>
      <c r="AD17" s="18"/>
      <c r="AE17" s="24"/>
      <c r="AF17" s="25"/>
      <c r="AG17" s="19">
        <v>10</v>
      </c>
      <c r="AH17" s="19">
        <f t="shared" si="8"/>
        <v>1</v>
      </c>
      <c r="AI17" s="19">
        <f t="shared" si="0"/>
        <v>75</v>
      </c>
      <c r="AJ17" s="21">
        <v>0.28699999999999998</v>
      </c>
      <c r="AK17" s="19">
        <f t="shared" si="9"/>
        <v>4.8494748749999997E-2</v>
      </c>
      <c r="AL17" s="19">
        <f t="shared" si="10"/>
        <v>12.180719101123595</v>
      </c>
      <c r="AM17" s="19">
        <f t="shared" si="11"/>
        <v>360.36891520135981</v>
      </c>
      <c r="AN17" s="19">
        <f t="shared" si="1"/>
        <v>251.17604307875902</v>
      </c>
      <c r="AO17" s="19">
        <f t="shared" si="12"/>
        <v>0.42840364917588114</v>
      </c>
      <c r="AP17" s="19">
        <f t="shared" si="2"/>
        <v>360.36891520135981</v>
      </c>
      <c r="AQ17" s="35"/>
      <c r="AS17" s="10"/>
      <c r="AT17" s="48"/>
      <c r="AU17" s="48"/>
      <c r="AV17" s="48"/>
      <c r="AW17" s="10"/>
    </row>
    <row r="18" spans="2:49" x14ac:dyDescent="0.25">
      <c r="B18" s="12" t="s">
        <v>182</v>
      </c>
      <c r="C18" s="13">
        <v>46.63</v>
      </c>
      <c r="D18" s="14">
        <v>15</v>
      </c>
      <c r="E18" s="14">
        <v>15</v>
      </c>
      <c r="F18" s="14">
        <v>15</v>
      </c>
      <c r="G18" s="14">
        <v>20</v>
      </c>
      <c r="H18" s="14">
        <v>97.6</v>
      </c>
      <c r="I18" s="14">
        <v>1</v>
      </c>
      <c r="J18" s="14">
        <v>0</v>
      </c>
      <c r="K18" s="14">
        <v>1.4</v>
      </c>
      <c r="L18" s="14">
        <v>0</v>
      </c>
      <c r="M18" s="14">
        <v>0</v>
      </c>
      <c r="N18" s="14">
        <v>41.5</v>
      </c>
      <c r="O18" s="14">
        <v>900</v>
      </c>
      <c r="P18" s="46">
        <v>0.30833333333333335</v>
      </c>
      <c r="Q18" s="10"/>
      <c r="R18" s="41"/>
      <c r="S18" s="30">
        <f t="shared" si="3"/>
        <v>16.576000000000001</v>
      </c>
      <c r="T18" s="30">
        <v>12</v>
      </c>
      <c r="U18" s="30">
        <f t="shared" si="4"/>
        <v>0.89999999999999858</v>
      </c>
      <c r="V18" s="30">
        <f t="shared" si="13"/>
        <v>0.69775280898876302</v>
      </c>
      <c r="W18" s="30">
        <f t="shared" si="5"/>
        <v>0.20224719101123556</v>
      </c>
      <c r="X18" s="30">
        <f>V18+V17+V16+V15+V14+V13+V12+V11+V10+V9+V8+V7+V6</f>
        <v>6.8224719101123572</v>
      </c>
      <c r="Y18" s="30">
        <f t="shared" si="14"/>
        <v>4.5975280898876427</v>
      </c>
      <c r="Z18" s="30">
        <f t="shared" si="6"/>
        <v>16.778247191011236</v>
      </c>
      <c r="AA18" s="31">
        <f t="shared" si="7"/>
        <v>0.27401718651223106</v>
      </c>
      <c r="AC18" s="18"/>
      <c r="AD18" s="18"/>
      <c r="AE18" s="24"/>
      <c r="AF18" s="25"/>
      <c r="AG18" s="19">
        <v>10</v>
      </c>
      <c r="AH18" s="19">
        <f t="shared" si="8"/>
        <v>0</v>
      </c>
      <c r="AI18" s="19">
        <f t="shared" si="0"/>
        <v>76</v>
      </c>
      <c r="AJ18" s="21">
        <v>0.28699999999999998</v>
      </c>
      <c r="AK18" s="19">
        <f t="shared" si="9"/>
        <v>4.9141345399999994E-2</v>
      </c>
      <c r="AL18" s="19">
        <f t="shared" si="10"/>
        <v>11.97847191011236</v>
      </c>
      <c r="AM18" s="19">
        <f t="shared" si="11"/>
        <v>337.31270206533668</v>
      </c>
      <c r="AN18" s="19">
        <f t="shared" si="1"/>
        <v>243.75547337196755</v>
      </c>
      <c r="AO18" s="19">
        <f t="shared" si="12"/>
        <v>0.37744307636677626</v>
      </c>
      <c r="AP18" s="19">
        <f t="shared" si="2"/>
        <v>337.31270206533668</v>
      </c>
      <c r="AQ18" s="35"/>
      <c r="AS18" s="10"/>
      <c r="AT18" s="48"/>
      <c r="AU18" s="48"/>
      <c r="AV18" s="48"/>
      <c r="AW18" s="10"/>
    </row>
    <row r="19" spans="2:49" x14ac:dyDescent="0.25">
      <c r="B19" s="12" t="s">
        <v>183</v>
      </c>
      <c r="C19" s="13">
        <v>37.5</v>
      </c>
      <c r="D19" s="14">
        <v>15</v>
      </c>
      <c r="E19" s="14">
        <v>15</v>
      </c>
      <c r="F19" s="14">
        <v>15</v>
      </c>
      <c r="G19" s="14">
        <v>20</v>
      </c>
      <c r="H19" s="14">
        <v>48.1</v>
      </c>
      <c r="I19" s="14">
        <v>1</v>
      </c>
      <c r="J19" s="14">
        <v>0</v>
      </c>
      <c r="K19" s="14">
        <v>1.4</v>
      </c>
      <c r="L19" s="14">
        <v>0</v>
      </c>
      <c r="M19" s="14">
        <v>0</v>
      </c>
      <c r="N19" s="14">
        <v>40.4</v>
      </c>
      <c r="O19" s="14">
        <v>1100</v>
      </c>
      <c r="P19" s="46">
        <v>0.31458333333333333</v>
      </c>
      <c r="Q19" s="10"/>
      <c r="R19" s="41"/>
      <c r="S19" s="30">
        <f t="shared" si="3"/>
        <v>15.475999999999999</v>
      </c>
      <c r="T19" s="30">
        <v>13</v>
      </c>
      <c r="U19" s="30">
        <f t="shared" si="4"/>
        <v>1.1000000000000014</v>
      </c>
      <c r="V19" s="30">
        <f t="shared" si="13"/>
        <v>0.85280898876404609</v>
      </c>
      <c r="W19" s="30">
        <f t="shared" si="5"/>
        <v>0.24719101123595533</v>
      </c>
      <c r="X19" s="30">
        <f>V19+V18+V17+V16+V15+V14+V13+V12+V11+V10+V9+V8+V7+V6</f>
        <v>7.6752808988764052</v>
      </c>
      <c r="Y19" s="30">
        <f t="shared" si="14"/>
        <v>3.7447191011235947</v>
      </c>
      <c r="Z19" s="30">
        <f t="shared" si="6"/>
        <v>15.723191011235954</v>
      </c>
      <c r="AA19" s="31">
        <f t="shared" si="7"/>
        <v>0.23816533796781963</v>
      </c>
      <c r="AC19" s="18"/>
      <c r="AD19" s="18"/>
      <c r="AG19" s="19">
        <v>10</v>
      </c>
      <c r="AH19" s="19">
        <f t="shared" si="8"/>
        <v>0</v>
      </c>
      <c r="AI19" s="19">
        <f t="shared" si="0"/>
        <v>76</v>
      </c>
      <c r="AJ19" s="21">
        <v>0.28699999999999998</v>
      </c>
      <c r="AK19" s="19">
        <f t="shared" si="9"/>
        <v>4.9141345399999994E-2</v>
      </c>
      <c r="AL19" s="19">
        <f t="shared" si="10"/>
        <v>11.731280898876404</v>
      </c>
      <c r="AM19" s="19">
        <f t="shared" si="11"/>
        <v>314.92829254121318</v>
      </c>
      <c r="AN19" s="19">
        <f t="shared" si="1"/>
        <v>238.72526898452409</v>
      </c>
      <c r="AO19" s="19">
        <f t="shared" si="12"/>
        <v>0.31262076909511816</v>
      </c>
      <c r="AP19" s="19">
        <f t="shared" si="2"/>
        <v>314.92829254121318</v>
      </c>
      <c r="AQ19" s="35"/>
      <c r="AS19" s="10"/>
      <c r="AT19" s="48"/>
      <c r="AU19" s="48"/>
      <c r="AV19" s="48"/>
      <c r="AW19" s="10"/>
    </row>
    <row r="20" spans="2:49" x14ac:dyDescent="0.25">
      <c r="B20" s="12" t="s">
        <v>184</v>
      </c>
      <c r="C20" s="13">
        <v>36.1</v>
      </c>
      <c r="D20" s="52">
        <v>15</v>
      </c>
      <c r="E20" s="52">
        <v>15</v>
      </c>
      <c r="F20" s="52">
        <v>15</v>
      </c>
      <c r="G20" s="14">
        <v>20</v>
      </c>
      <c r="H20" s="14">
        <v>63.6</v>
      </c>
      <c r="I20" s="14">
        <v>2</v>
      </c>
      <c r="J20" s="14">
        <v>1</v>
      </c>
      <c r="K20" s="14">
        <v>1.4</v>
      </c>
      <c r="L20" s="14">
        <v>0</v>
      </c>
      <c r="M20" s="14">
        <v>0</v>
      </c>
      <c r="N20" s="14">
        <v>39.700000000000003</v>
      </c>
      <c r="O20" s="14">
        <v>700</v>
      </c>
      <c r="P20" s="46">
        <v>0.31319444444444444</v>
      </c>
      <c r="Q20" s="39"/>
      <c r="R20" s="41"/>
      <c r="S20" s="30">
        <f t="shared" si="3"/>
        <v>14.776000000000003</v>
      </c>
      <c r="T20" s="30">
        <v>14</v>
      </c>
      <c r="U20" s="30">
        <f t="shared" si="4"/>
        <v>0.69999999999999574</v>
      </c>
      <c r="V20" s="30">
        <f t="shared" si="13"/>
        <v>0.54269662921347983</v>
      </c>
      <c r="W20" s="30">
        <f t="shared" si="5"/>
        <v>0.15730337078651591</v>
      </c>
      <c r="X20" s="30">
        <f>V20+V19+V18+V17+V16+V15+V14+V13+V12+V11+V10+V9+V8+V7</f>
        <v>8.2179775280898841</v>
      </c>
      <c r="Y20" s="30">
        <f t="shared" si="14"/>
        <v>3.2020224719101158</v>
      </c>
      <c r="Z20" s="30">
        <f t="shared" si="6"/>
        <v>14.933303370786518</v>
      </c>
      <c r="AA20" s="31">
        <f t="shared" si="7"/>
        <v>0.2144215778924117</v>
      </c>
      <c r="AG20" s="19">
        <v>10</v>
      </c>
      <c r="AH20" s="19">
        <f t="shared" si="8"/>
        <v>0</v>
      </c>
      <c r="AI20" s="19">
        <f t="shared" si="0"/>
        <v>76</v>
      </c>
      <c r="AJ20" s="21">
        <v>1.2869999999999999</v>
      </c>
      <c r="AK20" s="19">
        <f t="shared" si="9"/>
        <v>4.9141345399999994E-2</v>
      </c>
      <c r="AL20" s="19">
        <f t="shared" si="10"/>
        <v>11.573977528089888</v>
      </c>
      <c r="AM20" s="19">
        <f t="shared" si="11"/>
        <v>300.68366829858928</v>
      </c>
      <c r="AN20" s="19">
        <f t="shared" si="1"/>
        <v>235.52422982887825</v>
      </c>
      <c r="AO20" s="19">
        <f t="shared" si="12"/>
        <v>0.27294738737496249</v>
      </c>
      <c r="AP20" s="19">
        <f t="shared" si="2"/>
        <v>300.68366829858928</v>
      </c>
      <c r="AQ20" s="35"/>
      <c r="AS20" s="39"/>
      <c r="AT20" s="53"/>
      <c r="AU20" s="53"/>
      <c r="AV20" s="53"/>
      <c r="AW20" s="10"/>
    </row>
    <row r="21" spans="2:49" x14ac:dyDescent="0.25">
      <c r="B21" s="12" t="s">
        <v>185</v>
      </c>
      <c r="C21" s="13">
        <v>28.1</v>
      </c>
      <c r="D21" s="14">
        <v>16</v>
      </c>
      <c r="E21" s="14">
        <v>16</v>
      </c>
      <c r="F21" s="14">
        <v>16</v>
      </c>
      <c r="G21" s="14">
        <v>20</v>
      </c>
      <c r="H21" s="14">
        <v>14</v>
      </c>
      <c r="I21" s="14">
        <v>3</v>
      </c>
      <c r="J21" s="14">
        <v>0</v>
      </c>
      <c r="K21" s="14">
        <v>1.4</v>
      </c>
      <c r="L21" s="14">
        <v>0</v>
      </c>
      <c r="M21" s="14">
        <v>0</v>
      </c>
      <c r="N21" s="14">
        <v>39</v>
      </c>
      <c r="O21" s="14">
        <v>700</v>
      </c>
      <c r="P21" s="46">
        <v>0.31666666666666665</v>
      </c>
      <c r="Q21" s="10"/>
      <c r="R21" s="42"/>
      <c r="S21" s="30">
        <f t="shared" si="3"/>
        <v>14.076000000000001</v>
      </c>
      <c r="T21" s="30">
        <v>15</v>
      </c>
      <c r="U21" s="30">
        <f t="shared" ref="U21:U29" si="15">S20-S21</f>
        <v>0.70000000000000284</v>
      </c>
      <c r="V21" s="30">
        <f t="shared" si="13"/>
        <v>0.54269662921348538</v>
      </c>
      <c r="W21" s="30">
        <f t="shared" ref="W21:W29" si="16">U21-V21</f>
        <v>0.15730337078651746</v>
      </c>
      <c r="X21" s="30">
        <f>V21+V20+V19+V18+V17+V16+V15+V14+V13+V12+V11+V10+V9+V8+V7+V6</f>
        <v>8.7606741573033684</v>
      </c>
      <c r="Y21" s="30">
        <f t="shared" si="14"/>
        <v>2.6593258426966315</v>
      </c>
      <c r="Z21" s="30">
        <f t="shared" ref="Z21:Z29" si="17">S20-V21</f>
        <v>14.233303370786517</v>
      </c>
      <c r="AA21" s="31">
        <f t="shared" ref="AA21:AA29" si="18">Y21/Z21</f>
        <v>0.18683827453258869</v>
      </c>
      <c r="AG21" s="19">
        <v>11</v>
      </c>
      <c r="AH21" s="19">
        <f t="shared" ref="AH21:AH29" si="19">AG21-AG20</f>
        <v>1</v>
      </c>
      <c r="AI21" s="19">
        <f t="shared" ref="AI21:AI29" si="20">$AI$2-AH21</f>
        <v>75</v>
      </c>
      <c r="AJ21" s="21">
        <v>2.2869999999999999</v>
      </c>
      <c r="AK21" s="19">
        <f t="shared" ref="AK21:AK29" si="21">((($AJ$6*$AJ$6)*3.14)/4)*(AI21/100)</f>
        <v>4.8494748749999997E-2</v>
      </c>
      <c r="AL21" s="19">
        <f t="shared" ref="AL21:AL29" si="22">AL20-W21</f>
        <v>11.416674157303371</v>
      </c>
      <c r="AM21" s="19">
        <f t="shared" ref="AM21:AM29" si="23">S21/AK21</f>
        <v>290.25823131004472</v>
      </c>
      <c r="AN21" s="19">
        <f t="shared" ref="AN21:AN29" si="24">AL21/AK21</f>
        <v>235.42083321554216</v>
      </c>
      <c r="AO21" s="19">
        <f t="shared" ref="AO21:AO29" si="25">(AA21/(1-AA21))</f>
        <v>0.22976766943278434</v>
      </c>
      <c r="AP21" s="19">
        <f t="shared" ref="AP21:AP29" si="26">AM21/(1+AQ21)</f>
        <v>290.25823131004472</v>
      </c>
      <c r="AQ21" s="35"/>
      <c r="AS21" s="48"/>
      <c r="AT21" s="48"/>
      <c r="AU21" s="48"/>
      <c r="AV21" s="48"/>
    </row>
    <row r="22" spans="2:49" x14ac:dyDescent="0.25">
      <c r="B22" s="12" t="s">
        <v>186</v>
      </c>
      <c r="C22" s="13">
        <v>22.9</v>
      </c>
      <c r="D22" s="14">
        <v>16</v>
      </c>
      <c r="E22" s="14">
        <v>16</v>
      </c>
      <c r="F22" s="14">
        <v>16</v>
      </c>
      <c r="G22" s="14">
        <v>20</v>
      </c>
      <c r="H22" s="14">
        <v>10.1</v>
      </c>
      <c r="I22" s="14">
        <v>1</v>
      </c>
      <c r="J22" s="14">
        <v>0</v>
      </c>
      <c r="K22" s="14">
        <v>1.4</v>
      </c>
      <c r="L22" s="14">
        <v>0</v>
      </c>
      <c r="M22" s="14">
        <v>0</v>
      </c>
      <c r="N22" s="14">
        <v>38.6</v>
      </c>
      <c r="O22" s="14">
        <v>400</v>
      </c>
      <c r="P22" s="46">
        <v>0.32361111111111113</v>
      </c>
      <c r="Q22" s="10"/>
      <c r="R22" s="42"/>
      <c r="S22" s="30">
        <f t="shared" si="3"/>
        <v>13.676000000000002</v>
      </c>
      <c r="T22" s="30">
        <v>16</v>
      </c>
      <c r="U22" s="30">
        <f t="shared" si="15"/>
        <v>0.39999999999999858</v>
      </c>
      <c r="V22" s="30">
        <f t="shared" si="13"/>
        <v>0.31011235955056071</v>
      </c>
      <c r="W22" s="30">
        <f t="shared" si="16"/>
        <v>8.9887640449437867E-2</v>
      </c>
      <c r="X22" s="30">
        <f>V22+V21+V20+V19+V18+V17+V16+V15+V14+V13+V12+V11+V10+V9+V8+V7+V6</f>
        <v>9.0707865168539286</v>
      </c>
      <c r="Y22" s="30">
        <f t="shared" si="14"/>
        <v>2.3492134831460714</v>
      </c>
      <c r="Z22" s="30">
        <f t="shared" si="17"/>
        <v>13.76588764044944</v>
      </c>
      <c r="AA22" s="31">
        <f t="shared" si="18"/>
        <v>0.17065470418654183</v>
      </c>
      <c r="AG22" s="19">
        <v>11</v>
      </c>
      <c r="AH22" s="19">
        <f t="shared" si="19"/>
        <v>0</v>
      </c>
      <c r="AI22" s="19">
        <f t="shared" si="20"/>
        <v>76</v>
      </c>
      <c r="AJ22" s="21">
        <v>3.2869999999999999</v>
      </c>
      <c r="AK22" s="19">
        <f t="shared" si="21"/>
        <v>4.9141345399999994E-2</v>
      </c>
      <c r="AL22" s="19">
        <f t="shared" si="22"/>
        <v>11.326786516853932</v>
      </c>
      <c r="AM22" s="19">
        <f t="shared" si="23"/>
        <v>278.29925877446578</v>
      </c>
      <c r="AN22" s="19">
        <f t="shared" si="24"/>
        <v>230.49402544143479</v>
      </c>
      <c r="AO22" s="19">
        <f t="shared" si="25"/>
        <v>0.20577038906232201</v>
      </c>
      <c r="AP22" s="19">
        <f t="shared" si="26"/>
        <v>278.29925877446578</v>
      </c>
      <c r="AQ22" s="35"/>
      <c r="AT22" s="48"/>
      <c r="AU22" s="48"/>
      <c r="AV22" s="48"/>
    </row>
    <row r="23" spans="2:49" x14ac:dyDescent="0.25">
      <c r="B23" s="12" t="s">
        <v>187</v>
      </c>
      <c r="C23" s="13">
        <v>25.9</v>
      </c>
      <c r="D23" s="14">
        <v>16</v>
      </c>
      <c r="E23" s="14">
        <v>16</v>
      </c>
      <c r="F23" s="14">
        <v>16</v>
      </c>
      <c r="G23" s="14">
        <v>20</v>
      </c>
      <c r="H23" s="14">
        <v>9.1</v>
      </c>
      <c r="I23" s="14">
        <v>1</v>
      </c>
      <c r="J23" s="14">
        <v>0</v>
      </c>
      <c r="K23" s="14">
        <v>1.4</v>
      </c>
      <c r="L23" s="14">
        <v>0</v>
      </c>
      <c r="M23" s="14">
        <v>0</v>
      </c>
      <c r="N23" s="14">
        <v>38.4</v>
      </c>
      <c r="O23" s="14">
        <v>200</v>
      </c>
      <c r="P23" s="46">
        <v>0.31875000000000003</v>
      </c>
      <c r="Q23" s="10"/>
      <c r="R23" s="42"/>
      <c r="S23" s="30">
        <f t="shared" si="3"/>
        <v>13.475999999999999</v>
      </c>
      <c r="T23" s="30">
        <v>17</v>
      </c>
      <c r="U23" s="30">
        <f t="shared" si="15"/>
        <v>0.20000000000000284</v>
      </c>
      <c r="V23" s="30">
        <f t="shared" si="13"/>
        <v>0.1550561797752831</v>
      </c>
      <c r="W23" s="30">
        <f t="shared" si="16"/>
        <v>4.4943820224719738E-2</v>
      </c>
      <c r="X23" s="30">
        <f>V23+V22+V21+V20+V19+V18+V17+V16+V15+V14+V13+V12+V11+V10+V9+V8+V7+V6</f>
        <v>9.2258426966292113</v>
      </c>
      <c r="Y23" s="30">
        <f t="shared" si="14"/>
        <v>2.1941573033707886</v>
      </c>
      <c r="Z23" s="30">
        <f t="shared" si="17"/>
        <v>13.520943820224719</v>
      </c>
      <c r="AA23" s="31">
        <f t="shared" si="18"/>
        <v>0.16227841284931258</v>
      </c>
      <c r="AG23" s="19">
        <v>11</v>
      </c>
      <c r="AH23" s="19">
        <f t="shared" si="19"/>
        <v>0</v>
      </c>
      <c r="AI23" s="19">
        <f t="shared" si="20"/>
        <v>76</v>
      </c>
      <c r="AJ23" s="21">
        <v>4.2869999999999999</v>
      </c>
      <c r="AK23" s="19">
        <f t="shared" si="21"/>
        <v>4.9141345399999994E-2</v>
      </c>
      <c r="AL23" s="19">
        <f t="shared" si="22"/>
        <v>11.281842696629212</v>
      </c>
      <c r="AM23" s="19">
        <f t="shared" si="23"/>
        <v>274.22936613371598</v>
      </c>
      <c r="AN23" s="19">
        <f t="shared" si="24"/>
        <v>229.57944282553595</v>
      </c>
      <c r="AO23" s="19">
        <f t="shared" si="25"/>
        <v>0.19371401589550097</v>
      </c>
      <c r="AP23" s="19">
        <f t="shared" si="26"/>
        <v>274.22936613371598</v>
      </c>
      <c r="AQ23" s="35"/>
      <c r="AT23" s="48"/>
      <c r="AU23" s="48"/>
      <c r="AV23" s="48"/>
    </row>
    <row r="24" spans="2:49" x14ac:dyDescent="0.25">
      <c r="B24" s="12" t="s">
        <v>188</v>
      </c>
      <c r="C24" s="13">
        <v>21.9</v>
      </c>
      <c r="D24" s="14">
        <v>16</v>
      </c>
      <c r="E24" s="14">
        <v>16</v>
      </c>
      <c r="F24" s="14">
        <v>16</v>
      </c>
      <c r="G24" s="14">
        <v>20</v>
      </c>
      <c r="H24" s="14">
        <v>4.9000000000000004</v>
      </c>
      <c r="I24" s="14">
        <v>1</v>
      </c>
      <c r="J24" s="14">
        <v>0</v>
      </c>
      <c r="K24" s="14">
        <v>1.4</v>
      </c>
      <c r="L24" s="14">
        <v>0</v>
      </c>
      <c r="M24" s="14">
        <v>0</v>
      </c>
      <c r="N24" s="14">
        <v>38.200000000000003</v>
      </c>
      <c r="O24" s="14">
        <v>200</v>
      </c>
      <c r="P24" s="46">
        <v>0.31944444444444448</v>
      </c>
      <c r="Q24" s="10"/>
      <c r="R24" s="42"/>
      <c r="S24" s="30">
        <f t="shared" si="3"/>
        <v>13.276000000000003</v>
      </c>
      <c r="T24" s="30">
        <v>18</v>
      </c>
      <c r="U24" s="30">
        <f t="shared" si="15"/>
        <v>0.19999999999999574</v>
      </c>
      <c r="V24" s="30">
        <f t="shared" si="13"/>
        <v>0.15505617977527758</v>
      </c>
      <c r="W24" s="30">
        <f t="shared" si="16"/>
        <v>4.4943820224718156E-2</v>
      </c>
      <c r="X24" s="30">
        <f>V24+V23+V22+V21+V20+V19+V18+V17+V16+V15+V14+V13+V12+V11+V10+V9+V8+V7+V6</f>
        <v>9.3808988764044887</v>
      </c>
      <c r="Y24" s="30">
        <f t="shared" si="14"/>
        <v>2.0391011235955112</v>
      </c>
      <c r="Z24" s="30">
        <f t="shared" si="17"/>
        <v>13.320943820224722</v>
      </c>
      <c r="AA24" s="31">
        <f t="shared" si="18"/>
        <v>0.15307482345955212</v>
      </c>
      <c r="AG24" s="19">
        <v>11</v>
      </c>
      <c r="AH24" s="19">
        <f t="shared" si="19"/>
        <v>0</v>
      </c>
      <c r="AI24" s="19">
        <f t="shared" si="20"/>
        <v>76</v>
      </c>
      <c r="AJ24" s="21">
        <v>5.2869999999999999</v>
      </c>
      <c r="AK24" s="19">
        <f t="shared" si="21"/>
        <v>4.9141345399999994E-2</v>
      </c>
      <c r="AL24" s="19">
        <f t="shared" si="22"/>
        <v>11.236898876404494</v>
      </c>
      <c r="AM24" s="19">
        <f t="shared" si="23"/>
        <v>270.15947349296636</v>
      </c>
      <c r="AN24" s="19">
        <f t="shared" si="24"/>
        <v>228.66486020963714</v>
      </c>
      <c r="AO24" s="19">
        <f t="shared" si="25"/>
        <v>0.18074185028344295</v>
      </c>
      <c r="AP24" s="19">
        <f t="shared" si="26"/>
        <v>270.15947349296636</v>
      </c>
      <c r="AQ24" s="35"/>
      <c r="AT24" s="48"/>
      <c r="AU24" s="48"/>
      <c r="AV24" s="48"/>
    </row>
    <row r="25" spans="2:49" x14ac:dyDescent="0.25">
      <c r="B25" s="12" t="s">
        <v>189</v>
      </c>
      <c r="C25" s="13">
        <v>20.7</v>
      </c>
      <c r="D25" s="14">
        <v>16</v>
      </c>
      <c r="E25" s="14">
        <v>16</v>
      </c>
      <c r="F25" s="14">
        <v>16</v>
      </c>
      <c r="G25" s="14">
        <v>20</v>
      </c>
      <c r="H25" s="14">
        <v>4.0999999999999996</v>
      </c>
      <c r="I25" s="14">
        <v>1</v>
      </c>
      <c r="J25" s="14">
        <v>0</v>
      </c>
      <c r="K25" s="14">
        <v>1.4</v>
      </c>
      <c r="L25" s="14">
        <v>0</v>
      </c>
      <c r="M25" s="14">
        <v>0</v>
      </c>
      <c r="N25" s="14">
        <v>38.1</v>
      </c>
      <c r="O25" s="14">
        <v>100</v>
      </c>
      <c r="P25" s="46">
        <v>0.32222222222222224</v>
      </c>
      <c r="Q25" s="10"/>
      <c r="R25" s="42"/>
      <c r="S25" s="30">
        <f t="shared" si="3"/>
        <v>13.176000000000002</v>
      </c>
      <c r="T25" s="30">
        <v>19</v>
      </c>
      <c r="U25" s="30">
        <f t="shared" si="15"/>
        <v>0.10000000000000142</v>
      </c>
      <c r="V25" s="30">
        <f t="shared" si="13"/>
        <v>7.7528089887641552E-2</v>
      </c>
      <c r="W25" s="30">
        <f t="shared" si="16"/>
        <v>2.2471910112359869E-2</v>
      </c>
      <c r="X25" s="30">
        <f>V25+V24+V23+V22+V21+V20+V19+V18+V17+V16+V15+V14+V13+V12+V11+V10+V9+V8+V7+V6</f>
        <v>9.4584269662921301</v>
      </c>
      <c r="Y25" s="30">
        <f t="shared" si="14"/>
        <v>1.9615730337078698</v>
      </c>
      <c r="Z25" s="30">
        <f t="shared" si="17"/>
        <v>13.198471910112362</v>
      </c>
      <c r="AA25" s="31">
        <f t="shared" si="18"/>
        <v>0.1486212227496547</v>
      </c>
      <c r="AG25" s="19">
        <v>11</v>
      </c>
      <c r="AH25" s="19">
        <f t="shared" si="19"/>
        <v>0</v>
      </c>
      <c r="AI25" s="19">
        <f t="shared" si="20"/>
        <v>76</v>
      </c>
      <c r="AJ25" s="21">
        <v>6.2869999999999999</v>
      </c>
      <c r="AK25" s="19">
        <f t="shared" si="21"/>
        <v>4.9141345399999994E-2</v>
      </c>
      <c r="AL25" s="19">
        <f t="shared" si="22"/>
        <v>11.214426966292134</v>
      </c>
      <c r="AM25" s="19">
        <f t="shared" si="23"/>
        <v>268.12452717259146</v>
      </c>
      <c r="AN25" s="19">
        <f t="shared" si="24"/>
        <v>228.20756890168772</v>
      </c>
      <c r="AO25" s="19">
        <f t="shared" si="25"/>
        <v>0.17456533651173348</v>
      </c>
      <c r="AP25" s="19">
        <f t="shared" si="26"/>
        <v>268.12452717259146</v>
      </c>
      <c r="AQ25" s="35"/>
      <c r="AT25" s="48"/>
      <c r="AU25" s="48"/>
      <c r="AV25" s="48"/>
    </row>
    <row r="26" spans="2:49" x14ac:dyDescent="0.25">
      <c r="B26" s="12" t="s">
        <v>190</v>
      </c>
      <c r="C26" s="13">
        <v>22.8</v>
      </c>
      <c r="D26" s="14">
        <v>16</v>
      </c>
      <c r="E26" s="14">
        <v>16</v>
      </c>
      <c r="F26" s="14">
        <v>16</v>
      </c>
      <c r="G26" s="14">
        <v>20</v>
      </c>
      <c r="H26" s="14">
        <v>5.7</v>
      </c>
      <c r="I26" s="14">
        <v>1</v>
      </c>
      <c r="J26" s="14">
        <v>0</v>
      </c>
      <c r="K26" s="14">
        <v>1.4</v>
      </c>
      <c r="L26" s="14">
        <v>0</v>
      </c>
      <c r="M26" s="14">
        <v>0</v>
      </c>
      <c r="N26" s="14">
        <v>38</v>
      </c>
      <c r="O26" s="14">
        <v>100</v>
      </c>
      <c r="P26" s="46">
        <v>0.31944444444444448</v>
      </c>
      <c r="Q26" s="10"/>
      <c r="R26" s="42"/>
      <c r="S26" s="30">
        <f t="shared" si="3"/>
        <v>13.076000000000001</v>
      </c>
      <c r="T26" s="30">
        <v>20</v>
      </c>
      <c r="U26" s="30">
        <f t="shared" si="15"/>
        <v>0.10000000000000142</v>
      </c>
      <c r="V26" s="30">
        <f t="shared" si="13"/>
        <v>7.7528089887641552E-2</v>
      </c>
      <c r="W26" s="30">
        <f t="shared" si="16"/>
        <v>2.2471910112359869E-2</v>
      </c>
      <c r="X26" s="30">
        <f>V26+V25+V24+V23+V22+V21+V20+V19+V18+V17+V16+V15+V14+V13+V12+V11+V10+V9+V8+V7+V6</f>
        <v>9.5359550561797715</v>
      </c>
      <c r="Y26" s="30">
        <f t="shared" si="14"/>
        <v>1.8840449438202285</v>
      </c>
      <c r="Z26" s="30">
        <f t="shared" si="17"/>
        <v>13.098471910112361</v>
      </c>
      <c r="AA26" s="31">
        <f t="shared" si="18"/>
        <v>0.14383700302977304</v>
      </c>
      <c r="AG26" s="19">
        <v>11</v>
      </c>
      <c r="AH26" s="19">
        <f t="shared" si="19"/>
        <v>0</v>
      </c>
      <c r="AI26" s="19">
        <f t="shared" si="20"/>
        <v>76</v>
      </c>
      <c r="AJ26" s="21">
        <v>7.2869999999999999</v>
      </c>
      <c r="AK26" s="19">
        <f t="shared" si="21"/>
        <v>4.9141345399999994E-2</v>
      </c>
      <c r="AL26" s="19">
        <f t="shared" si="22"/>
        <v>11.191955056179774</v>
      </c>
      <c r="AM26" s="19">
        <f t="shared" si="23"/>
        <v>266.08958085221661</v>
      </c>
      <c r="AN26" s="19">
        <f t="shared" si="24"/>
        <v>227.7502775937383</v>
      </c>
      <c r="AO26" s="19">
        <f t="shared" si="25"/>
        <v>0.16800189162435267</v>
      </c>
      <c r="AP26" s="19">
        <f t="shared" si="26"/>
        <v>266.08958085221661</v>
      </c>
      <c r="AQ26" s="35"/>
      <c r="AT26" s="48"/>
      <c r="AU26" s="48"/>
      <c r="AV26" s="48"/>
    </row>
    <row r="27" spans="2:49" x14ac:dyDescent="0.25">
      <c r="B27" s="12" t="s">
        <v>191</v>
      </c>
      <c r="C27" s="13">
        <v>22.6</v>
      </c>
      <c r="D27" s="14">
        <v>16</v>
      </c>
      <c r="E27" s="14">
        <v>16</v>
      </c>
      <c r="F27" s="14">
        <v>16</v>
      </c>
      <c r="G27" s="14">
        <v>20</v>
      </c>
      <c r="H27" s="14">
        <v>4.2</v>
      </c>
      <c r="I27" s="14">
        <v>0</v>
      </c>
      <c r="J27" s="14">
        <v>0</v>
      </c>
      <c r="K27" s="14">
        <v>1.4</v>
      </c>
      <c r="L27" s="14">
        <v>0</v>
      </c>
      <c r="M27" s="14">
        <v>0</v>
      </c>
      <c r="N27" s="14">
        <v>38</v>
      </c>
      <c r="O27" s="14">
        <v>0</v>
      </c>
      <c r="P27" s="46">
        <v>0.34513888888888888</v>
      </c>
      <c r="S27" s="30">
        <f t="shared" si="3"/>
        <v>13.076000000000001</v>
      </c>
      <c r="T27" s="30">
        <v>21</v>
      </c>
      <c r="U27" s="30">
        <f t="shared" si="15"/>
        <v>0</v>
      </c>
      <c r="V27" s="30">
        <f t="shared" si="13"/>
        <v>0</v>
      </c>
      <c r="W27" s="30">
        <f t="shared" si="16"/>
        <v>0</v>
      </c>
      <c r="X27" s="30">
        <f>V27+V26+V25+V24+V23+V22+V21+V20+V19+V18+V17+V16+V15+V14+V13+V12+V11+V10+V9+V8+V7+V6</f>
        <v>9.5359550561797715</v>
      </c>
      <c r="Y27" s="30">
        <f t="shared" si="14"/>
        <v>1.8840449438202285</v>
      </c>
      <c r="Z27" s="30">
        <f t="shared" si="17"/>
        <v>13.076000000000001</v>
      </c>
      <c r="AA27" s="31">
        <f t="shared" si="18"/>
        <v>0.14408419576477732</v>
      </c>
      <c r="AG27" s="19">
        <v>11</v>
      </c>
      <c r="AH27" s="19">
        <f t="shared" si="19"/>
        <v>0</v>
      </c>
      <c r="AI27" s="19">
        <f t="shared" si="20"/>
        <v>76</v>
      </c>
      <c r="AJ27" s="21">
        <v>8.2870000000000008</v>
      </c>
      <c r="AK27" s="19">
        <f t="shared" si="21"/>
        <v>4.9141345399999994E-2</v>
      </c>
      <c r="AL27" s="19">
        <f t="shared" si="22"/>
        <v>11.191955056179774</v>
      </c>
      <c r="AM27" s="19">
        <f t="shared" si="23"/>
        <v>266.08958085221661</v>
      </c>
      <c r="AN27" s="19">
        <f t="shared" si="24"/>
        <v>227.7502775937383</v>
      </c>
      <c r="AO27" s="19">
        <f t="shared" si="25"/>
        <v>0.16833921637131044</v>
      </c>
      <c r="AP27" s="19">
        <f t="shared" si="26"/>
        <v>266.08958085221661</v>
      </c>
      <c r="AQ27" s="35"/>
      <c r="AT27" s="48"/>
      <c r="AU27" s="48"/>
      <c r="AV27" s="48"/>
    </row>
    <row r="28" spans="2:49" x14ac:dyDescent="0.25">
      <c r="B28" s="12" t="s">
        <v>192</v>
      </c>
      <c r="C28" s="13">
        <v>23.9</v>
      </c>
      <c r="D28" s="14">
        <v>16</v>
      </c>
      <c r="E28" s="14">
        <v>16</v>
      </c>
      <c r="F28" s="14">
        <v>16</v>
      </c>
      <c r="G28" s="14">
        <v>20</v>
      </c>
      <c r="H28" s="14">
        <v>4.0999999999999996</v>
      </c>
      <c r="I28" s="14">
        <v>0</v>
      </c>
      <c r="J28" s="14">
        <v>0</v>
      </c>
      <c r="K28" s="14">
        <v>1.4</v>
      </c>
      <c r="L28" s="14">
        <v>0</v>
      </c>
      <c r="M28" s="14">
        <v>0</v>
      </c>
      <c r="N28" s="14">
        <v>37.9</v>
      </c>
      <c r="O28" s="14">
        <v>100</v>
      </c>
      <c r="P28" s="46">
        <v>0.34791666666666665</v>
      </c>
      <c r="S28" s="30">
        <f t="shared" si="3"/>
        <v>12.975999999999999</v>
      </c>
      <c r="T28" s="30">
        <v>22</v>
      </c>
      <c r="U28" s="30">
        <f t="shared" si="15"/>
        <v>0.10000000000000142</v>
      </c>
      <c r="V28" s="30">
        <f t="shared" si="13"/>
        <v>7.7528089887641552E-2</v>
      </c>
      <c r="W28" s="30">
        <f t="shared" si="16"/>
        <v>2.2471910112359869E-2</v>
      </c>
      <c r="X28" s="30">
        <f>V28+V27+V26+V25+V24+V23+V22+V21+V20+V19+V18+V17+V16+V15+V14+V13+V12+V11+V10+V9+V8+V7+V6</f>
        <v>9.6134831460674128</v>
      </c>
      <c r="Y28" s="30">
        <f t="shared" si="14"/>
        <v>1.8065168539325871</v>
      </c>
      <c r="Z28" s="30">
        <f t="shared" si="17"/>
        <v>12.998471910112359</v>
      </c>
      <c r="AA28" s="31">
        <f t="shared" si="18"/>
        <v>0.13897917127683138</v>
      </c>
      <c r="AG28" s="19">
        <v>11</v>
      </c>
      <c r="AH28" s="19">
        <f t="shared" si="19"/>
        <v>0</v>
      </c>
      <c r="AI28" s="19">
        <f t="shared" si="20"/>
        <v>76</v>
      </c>
      <c r="AJ28" s="21">
        <v>9.2870000000000008</v>
      </c>
      <c r="AK28" s="19">
        <f t="shared" si="21"/>
        <v>4.9141345399999994E-2</v>
      </c>
      <c r="AL28" s="19">
        <f t="shared" si="22"/>
        <v>11.169483146067414</v>
      </c>
      <c r="AM28" s="19">
        <f t="shared" si="23"/>
        <v>264.05463453184171</v>
      </c>
      <c r="AN28" s="19">
        <f t="shared" si="24"/>
        <v>227.29298628578888</v>
      </c>
      <c r="AO28" s="19">
        <f t="shared" si="25"/>
        <v>0.16141208974343557</v>
      </c>
      <c r="AP28" s="19">
        <f t="shared" si="26"/>
        <v>264.05463453184171</v>
      </c>
      <c r="AQ28" s="35"/>
      <c r="AT28" s="48"/>
      <c r="AU28" s="48"/>
      <c r="AV28" s="48"/>
    </row>
    <row r="29" spans="2:49" x14ac:dyDescent="0.25">
      <c r="B29" s="12" t="s">
        <v>193</v>
      </c>
      <c r="C29" s="13">
        <v>20.9</v>
      </c>
      <c r="D29" s="14">
        <v>16</v>
      </c>
      <c r="E29" s="14">
        <v>16</v>
      </c>
      <c r="F29" s="14">
        <v>16</v>
      </c>
      <c r="G29" s="14">
        <v>20</v>
      </c>
      <c r="H29" s="14">
        <v>4.2</v>
      </c>
      <c r="I29" s="14">
        <v>0</v>
      </c>
      <c r="J29" s="14">
        <v>0</v>
      </c>
      <c r="K29" s="14">
        <v>1.4</v>
      </c>
      <c r="L29" s="14">
        <v>0</v>
      </c>
      <c r="M29" s="14">
        <v>0</v>
      </c>
      <c r="N29" s="14">
        <v>37.799999999999997</v>
      </c>
      <c r="O29" s="14">
        <v>100</v>
      </c>
      <c r="P29" s="46">
        <v>0.34583333333333338</v>
      </c>
      <c r="S29" s="30">
        <f t="shared" si="3"/>
        <v>12.875999999999998</v>
      </c>
      <c r="T29" s="30">
        <v>23</v>
      </c>
      <c r="U29" s="30">
        <f t="shared" si="15"/>
        <v>0.10000000000000142</v>
      </c>
      <c r="V29" s="30">
        <f t="shared" si="13"/>
        <v>7.7528089887641552E-2</v>
      </c>
      <c r="W29" s="30">
        <f t="shared" si="16"/>
        <v>2.2471910112359869E-2</v>
      </c>
      <c r="X29" s="30">
        <f>V29+V28+V27+V26+V25+V24+V23+V22+V21+V20+V19+V18+V17+V16+V15+V14+V13+V12+V11+V10+V9+V8+V7+V6</f>
        <v>9.6910112359550542</v>
      </c>
      <c r="Y29" s="30">
        <f t="shared" si="14"/>
        <v>1.7289887640449457</v>
      </c>
      <c r="Z29" s="30">
        <f t="shared" si="17"/>
        <v>12.898471910112358</v>
      </c>
      <c r="AA29" s="31">
        <f t="shared" si="18"/>
        <v>0.13404601538027341</v>
      </c>
      <c r="AE29" s="26" t="s">
        <v>310</v>
      </c>
      <c r="AF29" s="27">
        <v>1800</v>
      </c>
      <c r="AG29" s="19">
        <v>11</v>
      </c>
      <c r="AH29" s="19">
        <f t="shared" si="19"/>
        <v>0</v>
      </c>
      <c r="AI29" s="19">
        <f t="shared" si="20"/>
        <v>76</v>
      </c>
      <c r="AJ29" s="21">
        <v>10.287000000000001</v>
      </c>
      <c r="AK29" s="19">
        <f t="shared" si="21"/>
        <v>4.9141345399999994E-2</v>
      </c>
      <c r="AL29" s="19">
        <f t="shared" si="22"/>
        <v>11.147011235955054</v>
      </c>
      <c r="AM29" s="19">
        <f t="shared" si="23"/>
        <v>262.01968821146681</v>
      </c>
      <c r="AN29" s="19">
        <f t="shared" si="24"/>
        <v>226.83569497783947</v>
      </c>
      <c r="AO29" s="19">
        <f t="shared" si="25"/>
        <v>0.15479577178588552</v>
      </c>
      <c r="AP29" s="19">
        <f t="shared" si="26"/>
        <v>262.01968821146681</v>
      </c>
      <c r="AQ29" s="35"/>
      <c r="AT29" s="48"/>
      <c r="AU29" s="48"/>
      <c r="AV29" s="48"/>
    </row>
    <row r="30" spans="2:49" x14ac:dyDescent="0.25">
      <c r="AQ30" s="35"/>
    </row>
    <row r="31" spans="2:49" x14ac:dyDescent="0.25">
      <c r="AQ31" s="35"/>
    </row>
    <row r="32" spans="2:49" x14ac:dyDescent="0.25">
      <c r="B32" s="63" t="s">
        <v>303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S32" s="11" t="s">
        <v>305</v>
      </c>
      <c r="T32" s="11"/>
      <c r="U32" s="11"/>
      <c r="V32" s="11"/>
      <c r="W32" s="11"/>
      <c r="X32" s="11"/>
      <c r="Y32" s="11"/>
      <c r="Z32" s="11"/>
      <c r="AA32" s="11"/>
      <c r="AG32" s="63" t="s">
        <v>305</v>
      </c>
      <c r="AH32" s="63"/>
      <c r="AI32" s="63"/>
      <c r="AJ32" s="63"/>
      <c r="AK32" s="63"/>
      <c r="AL32" s="63"/>
      <c r="AM32" s="63"/>
      <c r="AN32" s="63"/>
      <c r="AO32" s="63"/>
      <c r="AP32" s="63"/>
      <c r="AQ32" s="35"/>
    </row>
    <row r="33" spans="1:43" x14ac:dyDescent="0.25">
      <c r="AQ33" s="35"/>
    </row>
    <row r="34" spans="1:43" x14ac:dyDescent="0.25">
      <c r="S34" t="s">
        <v>313</v>
      </c>
      <c r="X34" s="8">
        <v>11.42</v>
      </c>
      <c r="Y34" s="30"/>
      <c r="Z34" s="30"/>
      <c r="AA34" s="31"/>
      <c r="AQ34" s="35"/>
    </row>
    <row r="35" spans="1:43" x14ac:dyDescent="0.25">
      <c r="S35" t="s">
        <v>312</v>
      </c>
      <c r="X35" s="8">
        <v>1.2130000000000001</v>
      </c>
      <c r="Y35" s="30"/>
      <c r="Z35" s="30"/>
      <c r="AA35" s="31"/>
      <c r="AQ35" s="35"/>
    </row>
    <row r="36" spans="1:43" x14ac:dyDescent="0.25">
      <c r="S36" t="s">
        <v>311</v>
      </c>
      <c r="X36" s="8">
        <f>S6-S29</f>
        <v>12.5</v>
      </c>
      <c r="Y36" s="30"/>
      <c r="Z36" s="30"/>
      <c r="AA36" s="31"/>
      <c r="AQ36" s="35"/>
    </row>
    <row r="37" spans="1:43" x14ac:dyDescent="0.25">
      <c r="S37" t="s">
        <v>314</v>
      </c>
      <c r="X37" s="8">
        <f>X34-X35</f>
        <v>10.207000000000001</v>
      </c>
      <c r="Y37" s="30"/>
      <c r="Z37" s="30"/>
      <c r="AA37" s="31"/>
      <c r="AQ37" s="35"/>
    </row>
    <row r="38" spans="1:43" x14ac:dyDescent="0.25">
      <c r="S38" t="s">
        <v>315</v>
      </c>
      <c r="X38" s="8">
        <f>X36-X37</f>
        <v>2.2929999999999993</v>
      </c>
      <c r="AQ38" s="35"/>
    </row>
    <row r="39" spans="1:43" x14ac:dyDescent="0.25">
      <c r="AQ39" s="35"/>
    </row>
    <row r="40" spans="1:43" x14ac:dyDescent="0.25">
      <c r="S40" t="s">
        <v>316</v>
      </c>
      <c r="X40" s="29">
        <f>X37/X38</f>
        <v>4.4513737461840401</v>
      </c>
      <c r="AQ40" s="35"/>
    </row>
    <row r="41" spans="1:43" x14ac:dyDescent="0.25">
      <c r="AQ41" s="35"/>
    </row>
    <row r="42" spans="1:43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8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410" spans="46:46" x14ac:dyDescent="0.25">
      <c r="AT410" s="7"/>
    </row>
    <row r="554" spans="46:46" x14ac:dyDescent="0.25">
      <c r="AT554" s="7"/>
    </row>
    <row r="684" spans="46:46" x14ac:dyDescent="0.25">
      <c r="AT684" s="7"/>
    </row>
  </sheetData>
  <mergeCells count="2">
    <mergeCell ref="B32:P32"/>
    <mergeCell ref="AG32:AP3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E38F-44D8-4E13-A426-C36F4B886244}">
  <dimension ref="A1:AW1314"/>
  <sheetViews>
    <sheetView zoomScale="55" zoomScaleNormal="55" workbookViewId="0">
      <selection activeCell="O21" sqref="O21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4.710937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</cols>
  <sheetData>
    <row r="1" spans="2:49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9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9" x14ac:dyDescent="0.25">
      <c r="L3" s="9"/>
      <c r="M3" s="10"/>
      <c r="AQ3" s="35"/>
    </row>
    <row r="4" spans="2:49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368</v>
      </c>
      <c r="W4" s="17" t="s">
        <v>369</v>
      </c>
      <c r="X4" s="17" t="s">
        <v>370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9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9" x14ac:dyDescent="0.25">
      <c r="B6" s="12" t="s">
        <v>194</v>
      </c>
      <c r="C6" s="13">
        <v>28</v>
      </c>
      <c r="D6" s="14">
        <v>5</v>
      </c>
      <c r="E6" s="14">
        <v>5</v>
      </c>
      <c r="F6" s="14">
        <v>5</v>
      </c>
      <c r="G6" s="14">
        <v>20</v>
      </c>
      <c r="H6" s="14">
        <v>0.1</v>
      </c>
      <c r="I6" s="14">
        <v>0</v>
      </c>
      <c r="J6" s="14">
        <v>0</v>
      </c>
      <c r="K6" s="14">
        <v>21</v>
      </c>
      <c r="L6" s="14">
        <v>0</v>
      </c>
      <c r="M6" s="14">
        <v>0</v>
      </c>
      <c r="N6" s="14">
        <v>36.299999999999997</v>
      </c>
      <c r="O6" s="14">
        <v>0</v>
      </c>
      <c r="P6" s="51">
        <v>0.40763888888888888</v>
      </c>
      <c r="Q6" s="10"/>
      <c r="R6" s="41"/>
      <c r="S6" s="30">
        <f>N6-25.414</f>
        <v>10.885999999999996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4.9000000000000004</v>
      </c>
      <c r="Z6" s="30">
        <f>S6-V6</f>
        <v>10.885999999999996</v>
      </c>
      <c r="AA6" s="31">
        <f>Y6/Z6</f>
        <v>0.45011941943781025</v>
      </c>
      <c r="AC6" s="18"/>
      <c r="AD6" s="18">
        <v>1000</v>
      </c>
      <c r="AE6" s="22" t="s">
        <v>309</v>
      </c>
      <c r="AF6" s="23">
        <v>1560</v>
      </c>
      <c r="AG6" s="19">
        <v>0</v>
      </c>
      <c r="AH6" s="19">
        <v>0</v>
      </c>
      <c r="AI6" s="19">
        <f t="shared" ref="AI6:AI20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5.9859999999999998</v>
      </c>
      <c r="AM6" s="19">
        <f>S6/AK6</f>
        <v>221.52425643600708</v>
      </c>
      <c r="AN6" s="19">
        <f t="shared" ref="AN6:AN20" si="1">AL6/AK6</f>
        <v>121.81188673763907</v>
      </c>
      <c r="AO6" s="19">
        <f>(AA6/(1-AA6))</f>
        <v>0.81857667891747476</v>
      </c>
      <c r="AP6" s="19">
        <f t="shared" ref="AP6:AP20" si="2">AM6/(1+AQ6)</f>
        <v>221.52425643600708</v>
      </c>
      <c r="AQ6" s="35"/>
      <c r="AS6" s="48"/>
      <c r="AT6" s="48"/>
      <c r="AU6" s="48"/>
      <c r="AV6" s="48"/>
      <c r="AW6" s="10"/>
    </row>
    <row r="7" spans="2:49" x14ac:dyDescent="0.25">
      <c r="B7" s="12" t="s">
        <v>195</v>
      </c>
      <c r="C7" s="13">
        <v>51.7</v>
      </c>
      <c r="D7" s="14">
        <v>6</v>
      </c>
      <c r="E7" s="14">
        <v>6</v>
      </c>
      <c r="F7" s="14">
        <v>6</v>
      </c>
      <c r="G7" s="14">
        <v>20</v>
      </c>
      <c r="H7" s="14">
        <v>89.1</v>
      </c>
      <c r="I7" s="14">
        <v>0</v>
      </c>
      <c r="J7" s="14">
        <v>0</v>
      </c>
      <c r="K7" s="14">
        <v>1.4</v>
      </c>
      <c r="L7" s="14">
        <v>0</v>
      </c>
      <c r="M7" s="14">
        <v>0</v>
      </c>
      <c r="N7" s="14">
        <v>35</v>
      </c>
      <c r="O7" s="14">
        <v>1300</v>
      </c>
      <c r="P7" s="51">
        <v>0.33194444444444443</v>
      </c>
      <c r="Q7" s="10"/>
      <c r="R7" s="41"/>
      <c r="S7" s="30">
        <f t="shared" ref="S7:S20" si="3">N7-25.414</f>
        <v>9.5859999999999985</v>
      </c>
      <c r="T7" s="30">
        <v>1</v>
      </c>
      <c r="U7" s="30">
        <f t="shared" ref="U7:U20" si="4">S6-S7</f>
        <v>1.2999999999999972</v>
      </c>
      <c r="V7" s="30">
        <f>U7-(U7/5.27)</f>
        <v>1.0533206831119521</v>
      </c>
      <c r="W7" s="30">
        <f t="shared" ref="W7:W20" si="5">U7-V7</f>
        <v>0.24667931688804501</v>
      </c>
      <c r="X7" s="30">
        <f>V7+V6</f>
        <v>1.0533206831119521</v>
      </c>
      <c r="Y7" s="30">
        <f>4.9-X7</f>
        <v>3.8466793168880482</v>
      </c>
      <c r="Z7" s="30">
        <f t="shared" ref="Z7:Z20" si="6">S6-V7</f>
        <v>9.8326793168880435</v>
      </c>
      <c r="AA7" s="31">
        <f t="shared" ref="AA7:AA20" si="7">Y7/Z7</f>
        <v>0.39121374682495885</v>
      </c>
      <c r="AC7" s="18"/>
      <c r="AD7" s="18"/>
      <c r="AE7" s="24"/>
      <c r="AF7" s="25"/>
      <c r="AG7" s="19">
        <v>1</v>
      </c>
      <c r="AH7" s="19">
        <f t="shared" ref="AH7:AH20" si="8">AG7-AG6</f>
        <v>1</v>
      </c>
      <c r="AI7" s="19">
        <f t="shared" si="0"/>
        <v>75</v>
      </c>
      <c r="AJ7" s="21">
        <v>0.28699999999999998</v>
      </c>
      <c r="AK7" s="19">
        <f t="shared" ref="AK7:AK20" si="9">((($AJ$6*$AJ$6)*3.14)/4)*(AI7/100)</f>
        <v>4.8494748749999997E-2</v>
      </c>
      <c r="AL7" s="19">
        <f t="shared" ref="AL7:AL20" si="10">AL6-W7</f>
        <v>5.7393206831119548</v>
      </c>
      <c r="AM7" s="19">
        <f t="shared" ref="AM7:AM20" si="11">S7/AK7</f>
        <v>197.67088699474908</v>
      </c>
      <c r="AN7" s="19">
        <f t="shared" si="1"/>
        <v>118.34932298957328</v>
      </c>
      <c r="AO7" s="19">
        <f t="shared" ref="AO7:AO20" si="12">(AA7/(1-AA7))</f>
        <v>0.64261264899566506</v>
      </c>
      <c r="AP7" s="19">
        <f t="shared" si="2"/>
        <v>197.67088699474908</v>
      </c>
      <c r="AQ7" s="35"/>
      <c r="AS7" s="48"/>
      <c r="AT7" s="48"/>
      <c r="AU7" s="48"/>
      <c r="AV7" s="48"/>
      <c r="AW7" s="10"/>
    </row>
    <row r="8" spans="2:49" x14ac:dyDescent="0.25">
      <c r="B8" s="12" t="s">
        <v>196</v>
      </c>
      <c r="C8" s="13">
        <v>41.6</v>
      </c>
      <c r="D8" s="14">
        <v>6</v>
      </c>
      <c r="E8" s="14">
        <v>6</v>
      </c>
      <c r="F8" s="14">
        <v>6</v>
      </c>
      <c r="G8" s="14">
        <v>20</v>
      </c>
      <c r="H8" s="14">
        <v>25.5</v>
      </c>
      <c r="I8" s="14">
        <v>1</v>
      </c>
      <c r="J8" s="14">
        <v>1</v>
      </c>
      <c r="K8" s="14">
        <v>1.4</v>
      </c>
      <c r="L8" s="14">
        <v>0</v>
      </c>
      <c r="M8" s="14">
        <v>0</v>
      </c>
      <c r="N8" s="14">
        <v>33.799999999999997</v>
      </c>
      <c r="O8" s="14">
        <v>1200</v>
      </c>
      <c r="P8" s="51">
        <v>0.32222222222222224</v>
      </c>
      <c r="Q8" s="10"/>
      <c r="R8" s="41"/>
      <c r="S8" s="30">
        <f t="shared" si="3"/>
        <v>8.3859999999999957</v>
      </c>
      <c r="T8" s="30">
        <v>2</v>
      </c>
      <c r="U8" s="30">
        <f t="shared" si="4"/>
        <v>1.2000000000000028</v>
      </c>
      <c r="V8" s="30">
        <f t="shared" ref="V8:V20" si="13">U8-(U8/5.27)</f>
        <v>0.97229601518026798</v>
      </c>
      <c r="W8" s="30">
        <f t="shared" si="5"/>
        <v>0.22770398481973486</v>
      </c>
      <c r="X8" s="30">
        <f>V7+V8+V6</f>
        <v>2.0256166982922199</v>
      </c>
      <c r="Y8" s="30">
        <f t="shared" ref="Y8:Y20" si="14">4.9-X8</f>
        <v>2.8743833017077804</v>
      </c>
      <c r="Z8" s="30">
        <f t="shared" si="6"/>
        <v>8.6137039848197308</v>
      </c>
      <c r="AA8" s="31">
        <f t="shared" si="7"/>
        <v>0.33369887179469127</v>
      </c>
      <c r="AC8" s="18"/>
      <c r="AD8" s="18"/>
      <c r="AE8" s="24"/>
      <c r="AF8" s="25"/>
      <c r="AG8" s="19">
        <v>1</v>
      </c>
      <c r="AH8" s="19">
        <f t="shared" si="8"/>
        <v>0</v>
      </c>
      <c r="AI8" s="19">
        <f t="shared" si="0"/>
        <v>76</v>
      </c>
      <c r="AJ8" s="21">
        <v>0.28699999999999998</v>
      </c>
      <c r="AK8" s="19">
        <f t="shared" si="9"/>
        <v>4.9141345399999994E-2</v>
      </c>
      <c r="AL8" s="19">
        <f t="shared" si="10"/>
        <v>5.5116166982922197</v>
      </c>
      <c r="AM8" s="19">
        <f t="shared" si="11"/>
        <v>170.65059842663561</v>
      </c>
      <c r="AN8" s="19">
        <f t="shared" si="1"/>
        <v>112.15844119506383</v>
      </c>
      <c r="AO8" s="19">
        <f t="shared" si="12"/>
        <v>0.50082291274744462</v>
      </c>
      <c r="AP8" s="19">
        <f t="shared" si="2"/>
        <v>170.65059842663561</v>
      </c>
      <c r="AQ8" s="35"/>
      <c r="AS8" s="48"/>
      <c r="AT8" s="48"/>
      <c r="AU8" s="48"/>
      <c r="AV8" s="48"/>
      <c r="AW8" s="10"/>
    </row>
    <row r="9" spans="2:49" x14ac:dyDescent="0.25">
      <c r="B9" s="12" t="s">
        <v>197</v>
      </c>
      <c r="C9" s="13">
        <v>20.8</v>
      </c>
      <c r="D9" s="14">
        <v>7</v>
      </c>
      <c r="E9" s="14">
        <v>7</v>
      </c>
      <c r="F9" s="14">
        <v>7</v>
      </c>
      <c r="G9" s="14">
        <v>20</v>
      </c>
      <c r="H9" s="14">
        <v>4.5999999999999996</v>
      </c>
      <c r="I9" s="14">
        <v>0</v>
      </c>
      <c r="J9" s="14">
        <v>0</v>
      </c>
      <c r="K9" s="14">
        <v>1.3</v>
      </c>
      <c r="L9" s="14">
        <v>0</v>
      </c>
      <c r="M9" s="14">
        <v>0</v>
      </c>
      <c r="N9" s="14">
        <v>33.200000000000003</v>
      </c>
      <c r="O9" s="14">
        <v>600</v>
      </c>
      <c r="P9" s="51">
        <v>0.3263888888888889</v>
      </c>
      <c r="Q9" s="10"/>
      <c r="R9" s="41"/>
      <c r="S9" s="30">
        <f t="shared" si="3"/>
        <v>7.7860000000000014</v>
      </c>
      <c r="T9" s="30">
        <v>3</v>
      </c>
      <c r="U9" s="30">
        <f t="shared" si="4"/>
        <v>0.59999999999999432</v>
      </c>
      <c r="V9" s="30">
        <f t="shared" si="13"/>
        <v>0.48614800759012822</v>
      </c>
      <c r="W9" s="30">
        <f t="shared" si="5"/>
        <v>0.1138519924098661</v>
      </c>
      <c r="X9" s="30">
        <f>V9+V8+V7+V6</f>
        <v>2.5117647058823485</v>
      </c>
      <c r="Y9" s="30">
        <f t="shared" si="14"/>
        <v>2.3882352941176519</v>
      </c>
      <c r="Z9" s="30">
        <f t="shared" si="6"/>
        <v>7.8998519924098671</v>
      </c>
      <c r="AA9" s="31">
        <f t="shared" si="7"/>
        <v>0.30231392897135984</v>
      </c>
      <c r="AC9" s="18"/>
      <c r="AD9" s="18"/>
      <c r="AE9" s="24"/>
      <c r="AF9" s="25"/>
      <c r="AG9" s="19">
        <v>2</v>
      </c>
      <c r="AH9" s="19">
        <f t="shared" si="8"/>
        <v>1</v>
      </c>
      <c r="AI9" s="19">
        <f t="shared" si="0"/>
        <v>75</v>
      </c>
      <c r="AJ9" s="21">
        <v>0.28699999999999998</v>
      </c>
      <c r="AK9" s="19">
        <f t="shared" si="9"/>
        <v>4.8494748749999997E-2</v>
      </c>
      <c r="AL9" s="19">
        <f t="shared" si="10"/>
        <v>5.3977647058823539</v>
      </c>
      <c r="AM9" s="19">
        <f t="shared" si="11"/>
        <v>160.5534661111117</v>
      </c>
      <c r="AN9" s="19">
        <f t="shared" si="1"/>
        <v>111.30616912171041</v>
      </c>
      <c r="AO9" s="19">
        <f t="shared" si="12"/>
        <v>0.43330939447542705</v>
      </c>
      <c r="AP9" s="19">
        <f t="shared" si="2"/>
        <v>160.5534661111117</v>
      </c>
      <c r="AQ9" s="35"/>
      <c r="AS9" s="48"/>
      <c r="AT9" s="48"/>
      <c r="AU9" s="48"/>
      <c r="AV9" s="48"/>
      <c r="AW9" s="10"/>
    </row>
    <row r="10" spans="2:49" x14ac:dyDescent="0.25">
      <c r="B10" s="12" t="s">
        <v>198</v>
      </c>
      <c r="C10" s="13">
        <v>20.399999999999999</v>
      </c>
      <c r="D10" s="14">
        <v>7</v>
      </c>
      <c r="E10" s="14">
        <v>7</v>
      </c>
      <c r="F10" s="14">
        <v>7</v>
      </c>
      <c r="G10" s="14">
        <v>20</v>
      </c>
      <c r="H10" s="14">
        <v>5.0999999999999996</v>
      </c>
      <c r="I10" s="14">
        <v>0</v>
      </c>
      <c r="J10" s="14">
        <v>0</v>
      </c>
      <c r="K10" s="14">
        <v>1.3</v>
      </c>
      <c r="L10" s="14">
        <v>0</v>
      </c>
      <c r="M10" s="14">
        <v>0</v>
      </c>
      <c r="N10" s="14">
        <v>32.799999999999997</v>
      </c>
      <c r="O10" s="14">
        <v>400</v>
      </c>
      <c r="P10" s="51">
        <v>0.32291666666666669</v>
      </c>
      <c r="Q10" s="10"/>
      <c r="R10" s="41"/>
      <c r="S10" s="30">
        <f t="shared" si="3"/>
        <v>7.3859999999999957</v>
      </c>
      <c r="T10" s="30">
        <v>4</v>
      </c>
      <c r="U10" s="30">
        <f t="shared" si="4"/>
        <v>0.40000000000000568</v>
      </c>
      <c r="V10" s="30">
        <f t="shared" si="13"/>
        <v>0.32409867172675982</v>
      </c>
      <c r="W10" s="30">
        <f t="shared" si="5"/>
        <v>7.5901328273245861E-2</v>
      </c>
      <c r="X10" s="30">
        <f>V10+V9+V8+V7+V6</f>
        <v>2.8358633776091082</v>
      </c>
      <c r="Y10" s="30">
        <f t="shared" si="14"/>
        <v>2.0641366223908921</v>
      </c>
      <c r="Z10" s="30">
        <f t="shared" si="6"/>
        <v>7.4619013282732416</v>
      </c>
      <c r="AA10" s="31">
        <f t="shared" si="7"/>
        <v>0.27662341427242565</v>
      </c>
      <c r="AC10" s="18"/>
      <c r="AD10" s="18"/>
      <c r="AE10" s="24"/>
      <c r="AF10" s="25"/>
      <c r="AG10" s="19">
        <v>2</v>
      </c>
      <c r="AH10" s="19">
        <f t="shared" si="8"/>
        <v>0</v>
      </c>
      <c r="AI10" s="19">
        <f t="shared" si="0"/>
        <v>76</v>
      </c>
      <c r="AJ10" s="21">
        <v>0.28699999999999998</v>
      </c>
      <c r="AK10" s="19">
        <f t="shared" si="9"/>
        <v>4.9141345399999994E-2</v>
      </c>
      <c r="AL10" s="19">
        <f t="shared" si="10"/>
        <v>5.321863377609108</v>
      </c>
      <c r="AM10" s="19">
        <f t="shared" si="11"/>
        <v>150.30113522288701</v>
      </c>
      <c r="AN10" s="19">
        <f t="shared" si="1"/>
        <v>108.29706297803374</v>
      </c>
      <c r="AO10" s="19">
        <f t="shared" si="12"/>
        <v>0.38240581701189152</v>
      </c>
      <c r="AP10" s="19">
        <f t="shared" si="2"/>
        <v>150.30113522288701</v>
      </c>
      <c r="AQ10" s="35"/>
      <c r="AS10" s="48"/>
      <c r="AT10" s="48"/>
      <c r="AU10" s="48"/>
      <c r="AV10" s="48"/>
      <c r="AW10" s="10"/>
    </row>
    <row r="11" spans="2:49" x14ac:dyDescent="0.25">
      <c r="B11" s="12" t="s">
        <v>199</v>
      </c>
      <c r="C11" s="13">
        <v>26.7</v>
      </c>
      <c r="D11" s="14">
        <v>8</v>
      </c>
      <c r="E11" s="14">
        <v>8</v>
      </c>
      <c r="F11" s="14">
        <v>8</v>
      </c>
      <c r="G11" s="14">
        <v>20</v>
      </c>
      <c r="H11" s="14">
        <v>6</v>
      </c>
      <c r="I11" s="14">
        <v>0</v>
      </c>
      <c r="J11" s="14">
        <v>0</v>
      </c>
      <c r="K11" s="14">
        <v>1.3</v>
      </c>
      <c r="L11" s="14">
        <v>0</v>
      </c>
      <c r="M11" s="14">
        <v>0</v>
      </c>
      <c r="N11" s="14">
        <v>32.6</v>
      </c>
      <c r="O11" s="14">
        <v>200</v>
      </c>
      <c r="P11" s="51">
        <v>0.31944444444444448</v>
      </c>
      <c r="Q11" s="10"/>
      <c r="R11" s="41"/>
      <c r="S11" s="30">
        <f t="shared" si="3"/>
        <v>7.1859999999999999</v>
      </c>
      <c r="T11" s="30">
        <v>5</v>
      </c>
      <c r="U11" s="30">
        <f t="shared" si="4"/>
        <v>0.19999999999999574</v>
      </c>
      <c r="V11" s="30">
        <f t="shared" si="13"/>
        <v>0.16204933586337417</v>
      </c>
      <c r="W11" s="30">
        <f t="shared" si="5"/>
        <v>3.795066413662157E-2</v>
      </c>
      <c r="X11" s="30">
        <f>V11+V10+V9+V8+V7+V6</f>
        <v>2.9979127134724823</v>
      </c>
      <c r="Y11" s="30">
        <f t="shared" si="14"/>
        <v>1.902087286527518</v>
      </c>
      <c r="Z11" s="30">
        <f t="shared" si="6"/>
        <v>7.2239506641366216</v>
      </c>
      <c r="AA11" s="31">
        <f t="shared" si="7"/>
        <v>0.26330291760856706</v>
      </c>
      <c r="AC11" s="18"/>
      <c r="AD11" s="18"/>
      <c r="AE11" s="24"/>
      <c r="AF11" s="25"/>
      <c r="AG11" s="19">
        <v>3</v>
      </c>
      <c r="AH11" s="19">
        <f t="shared" si="8"/>
        <v>1</v>
      </c>
      <c r="AI11" s="19">
        <f t="shared" si="0"/>
        <v>75</v>
      </c>
      <c r="AJ11" s="21">
        <v>0.28699999999999998</v>
      </c>
      <c r="AK11" s="19">
        <f t="shared" si="9"/>
        <v>4.8494748749999997E-2</v>
      </c>
      <c r="AL11" s="19">
        <f t="shared" si="10"/>
        <v>5.2839127134724864</v>
      </c>
      <c r="AM11" s="19">
        <f t="shared" si="11"/>
        <v>148.18099248323253</v>
      </c>
      <c r="AN11" s="19">
        <f t="shared" si="1"/>
        <v>108.9584511657561</v>
      </c>
      <c r="AO11" s="19">
        <f t="shared" si="12"/>
        <v>0.35741001817713863</v>
      </c>
      <c r="AP11" s="19">
        <f t="shared" si="2"/>
        <v>148.18099248323253</v>
      </c>
      <c r="AQ11" s="35"/>
      <c r="AS11" s="48"/>
      <c r="AT11" s="48"/>
      <c r="AU11" s="48"/>
      <c r="AV11" s="48"/>
      <c r="AW11" s="10"/>
    </row>
    <row r="12" spans="2:49" x14ac:dyDescent="0.25">
      <c r="B12" s="12" t="s">
        <v>200</v>
      </c>
      <c r="C12" s="13">
        <v>20.9</v>
      </c>
      <c r="D12" s="14">
        <v>8</v>
      </c>
      <c r="E12" s="14">
        <v>8</v>
      </c>
      <c r="F12" s="14">
        <v>8</v>
      </c>
      <c r="G12" s="14">
        <v>20</v>
      </c>
      <c r="H12" s="14">
        <v>5.0999999999999996</v>
      </c>
      <c r="I12" s="14">
        <v>0</v>
      </c>
      <c r="J12" s="14">
        <v>0</v>
      </c>
      <c r="K12" s="14">
        <v>1.3</v>
      </c>
      <c r="L12" s="14">
        <v>0</v>
      </c>
      <c r="M12" s="14">
        <v>0</v>
      </c>
      <c r="N12" s="14">
        <v>32.299999999999997</v>
      </c>
      <c r="O12" s="14">
        <v>300</v>
      </c>
      <c r="P12" s="51">
        <v>0.30694444444444441</v>
      </c>
      <c r="Q12" s="10"/>
      <c r="R12" s="41"/>
      <c r="S12" s="30">
        <f t="shared" si="3"/>
        <v>6.8859999999999957</v>
      </c>
      <c r="T12" s="30">
        <v>6</v>
      </c>
      <c r="U12" s="30">
        <f t="shared" si="4"/>
        <v>0.30000000000000426</v>
      </c>
      <c r="V12" s="30">
        <f t="shared" si="13"/>
        <v>0.24307400379506985</v>
      </c>
      <c r="W12" s="30">
        <f t="shared" si="5"/>
        <v>5.6925996204934409E-2</v>
      </c>
      <c r="X12" s="30">
        <f>V12+V11+V10+V9+V8+V7+V6</f>
        <v>3.2409867172675524</v>
      </c>
      <c r="Y12" s="30">
        <f t="shared" si="14"/>
        <v>1.659013282732448</v>
      </c>
      <c r="Z12" s="30">
        <f t="shared" si="6"/>
        <v>6.9429259962049299</v>
      </c>
      <c r="AA12" s="31">
        <f t="shared" si="7"/>
        <v>0.23895016073040107</v>
      </c>
      <c r="AC12" s="18"/>
      <c r="AD12" s="18"/>
      <c r="AE12" s="24"/>
      <c r="AF12" s="25"/>
      <c r="AG12" s="19">
        <v>3</v>
      </c>
      <c r="AH12" s="19">
        <f t="shared" si="8"/>
        <v>0</v>
      </c>
      <c r="AI12" s="19">
        <f t="shared" si="0"/>
        <v>76</v>
      </c>
      <c r="AJ12" s="21">
        <v>0.28699999999999998</v>
      </c>
      <c r="AK12" s="19">
        <f t="shared" si="9"/>
        <v>4.9141345399999994E-2</v>
      </c>
      <c r="AL12" s="19">
        <f t="shared" si="10"/>
        <v>5.2269867172675522</v>
      </c>
      <c r="AM12" s="19">
        <f t="shared" si="11"/>
        <v>140.12640362101271</v>
      </c>
      <c r="AN12" s="19">
        <f t="shared" si="1"/>
        <v>106.3663738695187</v>
      </c>
      <c r="AO12" s="19">
        <f t="shared" si="12"/>
        <v>0.31397439221553258</v>
      </c>
      <c r="AP12" s="19">
        <f t="shared" si="2"/>
        <v>140.12640362101271</v>
      </c>
      <c r="AQ12" s="35"/>
      <c r="AS12" s="48"/>
      <c r="AT12" s="48"/>
      <c r="AU12" s="48"/>
      <c r="AV12" s="48"/>
      <c r="AW12" s="10"/>
    </row>
    <row r="13" spans="2:49" x14ac:dyDescent="0.25">
      <c r="B13" s="12" t="s">
        <v>201</v>
      </c>
      <c r="C13" s="13">
        <v>21.3</v>
      </c>
      <c r="D13" s="14">
        <v>8</v>
      </c>
      <c r="E13" s="14">
        <v>8</v>
      </c>
      <c r="F13" s="14">
        <v>8</v>
      </c>
      <c r="G13" s="14">
        <v>20</v>
      </c>
      <c r="H13" s="14">
        <v>4</v>
      </c>
      <c r="I13" s="14">
        <v>0</v>
      </c>
      <c r="J13" s="14">
        <v>0</v>
      </c>
      <c r="K13" s="14">
        <v>1.3</v>
      </c>
      <c r="L13" s="14">
        <v>0</v>
      </c>
      <c r="M13" s="14">
        <v>0</v>
      </c>
      <c r="N13" s="14">
        <v>32.1</v>
      </c>
      <c r="O13" s="14">
        <v>200</v>
      </c>
      <c r="P13" s="51">
        <v>0.32013888888888892</v>
      </c>
      <c r="Q13" s="10"/>
      <c r="R13" s="41"/>
      <c r="S13" s="30">
        <f t="shared" si="3"/>
        <v>6.6859999999999999</v>
      </c>
      <c r="T13" s="30">
        <v>7</v>
      </c>
      <c r="U13" s="30">
        <f t="shared" si="4"/>
        <v>0.19999999999999574</v>
      </c>
      <c r="V13" s="30">
        <f t="shared" si="13"/>
        <v>0.16204933586337417</v>
      </c>
      <c r="W13" s="30">
        <f t="shared" si="5"/>
        <v>3.795066413662157E-2</v>
      </c>
      <c r="X13" s="30">
        <f>V13+V12+V11+V10+V9+V8+V7+V6</f>
        <v>3.4030360531309265</v>
      </c>
      <c r="Y13" s="30">
        <f t="shared" si="14"/>
        <v>1.4969639468690739</v>
      </c>
      <c r="Z13" s="30">
        <f t="shared" si="6"/>
        <v>6.7239506641366216</v>
      </c>
      <c r="AA13" s="31">
        <f t="shared" si="7"/>
        <v>0.22263160776199556</v>
      </c>
      <c r="AC13" s="18"/>
      <c r="AD13" s="18"/>
      <c r="AE13" s="24"/>
      <c r="AF13" s="25"/>
      <c r="AG13" s="19">
        <v>3</v>
      </c>
      <c r="AH13" s="19">
        <f t="shared" si="8"/>
        <v>0</v>
      </c>
      <c r="AI13" s="19">
        <f t="shared" si="0"/>
        <v>76</v>
      </c>
      <c r="AJ13" s="21">
        <v>0.28699999999999998</v>
      </c>
      <c r="AK13" s="19">
        <f t="shared" si="9"/>
        <v>4.9141345399999994E-2</v>
      </c>
      <c r="AL13" s="19">
        <f t="shared" si="10"/>
        <v>5.1890360531309305</v>
      </c>
      <c r="AM13" s="19">
        <f t="shared" si="11"/>
        <v>136.05651098026308</v>
      </c>
      <c r="AN13" s="19">
        <f t="shared" si="1"/>
        <v>105.59409822611269</v>
      </c>
      <c r="AO13" s="19">
        <f t="shared" si="12"/>
        <v>0.28639138146722221</v>
      </c>
      <c r="AP13" s="19">
        <f t="shared" si="2"/>
        <v>136.05651098026308</v>
      </c>
      <c r="AQ13" s="35"/>
      <c r="AS13" s="48"/>
      <c r="AT13" s="48"/>
      <c r="AU13" s="48"/>
      <c r="AV13" s="48"/>
      <c r="AW13" s="10"/>
    </row>
    <row r="14" spans="2:49" x14ac:dyDescent="0.25">
      <c r="B14" s="12" t="s">
        <v>202</v>
      </c>
      <c r="C14" s="13">
        <v>22.8</v>
      </c>
      <c r="D14" s="14">
        <v>10</v>
      </c>
      <c r="E14" s="14">
        <v>10</v>
      </c>
      <c r="F14" s="14">
        <v>10</v>
      </c>
      <c r="G14" s="14">
        <v>20</v>
      </c>
      <c r="H14" s="14">
        <v>4.5</v>
      </c>
      <c r="I14" s="14">
        <v>0</v>
      </c>
      <c r="J14" s="14">
        <v>0</v>
      </c>
      <c r="K14" s="14">
        <v>1.3</v>
      </c>
      <c r="L14" s="14">
        <v>0</v>
      </c>
      <c r="M14" s="14">
        <v>0</v>
      </c>
      <c r="N14" s="14">
        <v>32</v>
      </c>
      <c r="O14" s="14">
        <v>100</v>
      </c>
      <c r="P14" s="51">
        <v>0.32569444444444445</v>
      </c>
      <c r="Q14" s="10"/>
      <c r="R14" s="41"/>
      <c r="S14" s="30">
        <f t="shared" si="3"/>
        <v>6.5859999999999985</v>
      </c>
      <c r="T14" s="30">
        <v>8</v>
      </c>
      <c r="U14" s="30">
        <f t="shared" si="4"/>
        <v>0.10000000000000142</v>
      </c>
      <c r="V14" s="30">
        <f t="shared" si="13"/>
        <v>8.1024667931689956E-2</v>
      </c>
      <c r="W14" s="30">
        <f t="shared" si="5"/>
        <v>1.8975332068311465E-2</v>
      </c>
      <c r="X14" s="30">
        <f>V14+V13+V12+V11+V10+V9+V8+V7+V6</f>
        <v>3.4840607210626162</v>
      </c>
      <c r="Y14" s="30">
        <f t="shared" si="14"/>
        <v>1.4159392789373841</v>
      </c>
      <c r="Z14" s="30">
        <f t="shared" si="6"/>
        <v>6.6049753320683102</v>
      </c>
      <c r="AA14" s="31">
        <f t="shared" si="7"/>
        <v>0.21437465058540814</v>
      </c>
      <c r="AC14" s="18"/>
      <c r="AD14" s="18"/>
      <c r="AE14" s="24"/>
      <c r="AF14" s="25"/>
      <c r="AG14" s="19">
        <v>5</v>
      </c>
      <c r="AH14" s="19">
        <f t="shared" si="8"/>
        <v>2</v>
      </c>
      <c r="AI14" s="19">
        <f t="shared" si="0"/>
        <v>74</v>
      </c>
      <c r="AJ14" s="21">
        <v>0.28699999999999998</v>
      </c>
      <c r="AK14" s="19">
        <f t="shared" si="9"/>
        <v>4.7848152099999992E-2</v>
      </c>
      <c r="AL14" s="19">
        <f t="shared" si="10"/>
        <v>5.1700607210626188</v>
      </c>
      <c r="AM14" s="19">
        <f t="shared" si="11"/>
        <v>137.64376911015546</v>
      </c>
      <c r="AN14" s="19">
        <f t="shared" si="1"/>
        <v>108.05141879371804</v>
      </c>
      <c r="AO14" s="19">
        <f t="shared" si="12"/>
        <v>0.27287135114103594</v>
      </c>
      <c r="AP14" s="19">
        <f t="shared" si="2"/>
        <v>137.64376911015546</v>
      </c>
      <c r="AQ14" s="35"/>
      <c r="AS14" s="48"/>
      <c r="AT14" s="48"/>
      <c r="AU14" s="48"/>
      <c r="AV14" s="48"/>
      <c r="AW14" s="10"/>
    </row>
    <row r="15" spans="2:49" x14ac:dyDescent="0.25">
      <c r="B15" s="12" t="s">
        <v>203</v>
      </c>
      <c r="C15" s="13">
        <v>21.2</v>
      </c>
      <c r="D15" s="14">
        <v>12</v>
      </c>
      <c r="E15" s="14">
        <v>12</v>
      </c>
      <c r="F15" s="14">
        <v>12</v>
      </c>
      <c r="G15" s="14">
        <v>20</v>
      </c>
      <c r="H15" s="14">
        <v>4.9000000000000004</v>
      </c>
      <c r="I15" s="14">
        <v>0</v>
      </c>
      <c r="J15" s="14">
        <v>0</v>
      </c>
      <c r="K15" s="14">
        <v>1.3</v>
      </c>
      <c r="L15" s="14">
        <v>0</v>
      </c>
      <c r="M15" s="14">
        <v>0</v>
      </c>
      <c r="N15" s="14">
        <v>31.8</v>
      </c>
      <c r="O15" s="14">
        <v>200</v>
      </c>
      <c r="P15" s="51">
        <v>0.31666666666666665</v>
      </c>
      <c r="Q15" s="10"/>
      <c r="R15" s="41"/>
      <c r="S15" s="30">
        <f t="shared" si="3"/>
        <v>6.3859999999999992</v>
      </c>
      <c r="T15" s="30">
        <v>9</v>
      </c>
      <c r="U15" s="30">
        <f t="shared" si="4"/>
        <v>0.19999999999999929</v>
      </c>
      <c r="V15" s="30">
        <f t="shared" si="13"/>
        <v>0.16204933586337703</v>
      </c>
      <c r="W15" s="30">
        <f t="shared" si="5"/>
        <v>3.7950664136622264E-2</v>
      </c>
      <c r="X15" s="30">
        <f>V15+V14+V13+V12+V11+V10+V9+V8+V7+V6</f>
        <v>3.646110056925993</v>
      </c>
      <c r="Y15" s="30">
        <f t="shared" si="14"/>
        <v>1.2538899430740074</v>
      </c>
      <c r="Z15" s="30">
        <f t="shared" si="6"/>
        <v>6.4239506641366217</v>
      </c>
      <c r="AA15" s="31">
        <f t="shared" si="7"/>
        <v>0.1951898463470734</v>
      </c>
      <c r="AC15" s="18"/>
      <c r="AD15" s="18"/>
      <c r="AE15" s="24"/>
      <c r="AF15" s="25"/>
      <c r="AG15" s="19">
        <v>7</v>
      </c>
      <c r="AH15" s="19">
        <f t="shared" si="8"/>
        <v>2</v>
      </c>
      <c r="AI15" s="19">
        <f t="shared" si="0"/>
        <v>74</v>
      </c>
      <c r="AJ15" s="21">
        <v>0.28699999999999998</v>
      </c>
      <c r="AK15" s="19">
        <f t="shared" si="9"/>
        <v>4.7848152099999992E-2</v>
      </c>
      <c r="AL15" s="19">
        <f t="shared" si="10"/>
        <v>5.1321100569259963</v>
      </c>
      <c r="AM15" s="19">
        <f t="shared" si="11"/>
        <v>133.4638793710071</v>
      </c>
      <c r="AN15" s="19">
        <f t="shared" si="1"/>
        <v>107.25827083562538</v>
      </c>
      <c r="AO15" s="19">
        <f t="shared" si="12"/>
        <v>0.2425290554065857</v>
      </c>
      <c r="AP15" s="19">
        <f t="shared" si="2"/>
        <v>133.4638793710071</v>
      </c>
      <c r="AQ15" s="35"/>
      <c r="AS15" s="48"/>
      <c r="AT15" s="48"/>
      <c r="AU15" s="48"/>
      <c r="AV15" s="48"/>
      <c r="AW15" s="10"/>
    </row>
    <row r="16" spans="2:49" x14ac:dyDescent="0.25">
      <c r="B16" s="12" t="s">
        <v>204</v>
      </c>
      <c r="C16" s="13">
        <v>24.8</v>
      </c>
      <c r="D16" s="14">
        <v>13</v>
      </c>
      <c r="E16" s="14">
        <v>13</v>
      </c>
      <c r="F16" s="14">
        <v>13</v>
      </c>
      <c r="G16" s="14">
        <v>20</v>
      </c>
      <c r="H16" s="14">
        <v>4.5999999999999996</v>
      </c>
      <c r="I16" s="14">
        <v>0</v>
      </c>
      <c r="J16" s="14">
        <v>0</v>
      </c>
      <c r="K16" s="14">
        <v>1.3</v>
      </c>
      <c r="L16" s="14">
        <v>0</v>
      </c>
      <c r="M16" s="14">
        <v>0</v>
      </c>
      <c r="N16" s="14">
        <v>31.6</v>
      </c>
      <c r="O16" s="14">
        <v>200</v>
      </c>
      <c r="P16" s="51">
        <v>0.32847222222222222</v>
      </c>
      <c r="Q16" s="10"/>
      <c r="R16" s="41"/>
      <c r="S16" s="30">
        <f t="shared" si="3"/>
        <v>6.1859999999999999</v>
      </c>
      <c r="T16" s="30">
        <v>10</v>
      </c>
      <c r="U16" s="30">
        <f t="shared" si="4"/>
        <v>0.19999999999999929</v>
      </c>
      <c r="V16" s="30">
        <f t="shared" si="13"/>
        <v>0.16204933586337703</v>
      </c>
      <c r="W16" s="30">
        <f t="shared" si="5"/>
        <v>3.7950664136622264E-2</v>
      </c>
      <c r="X16" s="30">
        <f>V16+V15+V14+V13+V12+V11+V10+V9+V8+V7+V6</f>
        <v>3.8081593927893707</v>
      </c>
      <c r="Y16" s="30">
        <f t="shared" si="14"/>
        <v>1.0918406072106297</v>
      </c>
      <c r="Z16" s="30">
        <f t="shared" si="6"/>
        <v>6.2239506641366225</v>
      </c>
      <c r="AA16" s="31">
        <f t="shared" si="7"/>
        <v>0.17542565263281826</v>
      </c>
      <c r="AC16" s="18"/>
      <c r="AD16" s="18"/>
      <c r="AE16" s="24"/>
      <c r="AF16" s="25"/>
      <c r="AG16" s="19">
        <v>8</v>
      </c>
      <c r="AH16" s="19">
        <f t="shared" si="8"/>
        <v>1</v>
      </c>
      <c r="AI16" s="19">
        <f t="shared" si="0"/>
        <v>75</v>
      </c>
      <c r="AJ16" s="21">
        <v>0.28699999999999998</v>
      </c>
      <c r="AK16" s="19">
        <f t="shared" si="9"/>
        <v>4.8494748749999997E-2</v>
      </c>
      <c r="AL16" s="19">
        <f t="shared" si="10"/>
        <v>5.0941593927893738</v>
      </c>
      <c r="AM16" s="19">
        <f t="shared" si="11"/>
        <v>127.56020310343396</v>
      </c>
      <c r="AN16" s="19">
        <f t="shared" si="1"/>
        <v>105.04558790583226</v>
      </c>
      <c r="AO16" s="19">
        <f t="shared" si="12"/>
        <v>0.21274691990230141</v>
      </c>
      <c r="AP16" s="19">
        <f t="shared" si="2"/>
        <v>127.56020310343396</v>
      </c>
      <c r="AQ16" s="35"/>
      <c r="AS16" s="48"/>
      <c r="AT16" s="48"/>
      <c r="AU16" s="48"/>
      <c r="AV16" s="48"/>
      <c r="AW16" s="10"/>
    </row>
    <row r="17" spans="2:49" x14ac:dyDescent="0.25">
      <c r="B17" s="15" t="s">
        <v>205</v>
      </c>
      <c r="C17" s="13">
        <v>23.7</v>
      </c>
      <c r="D17" s="14">
        <v>14</v>
      </c>
      <c r="E17" s="14">
        <v>14</v>
      </c>
      <c r="F17" s="14">
        <v>14</v>
      </c>
      <c r="G17" s="14">
        <v>20</v>
      </c>
      <c r="H17" s="14">
        <v>4.0999999999999996</v>
      </c>
      <c r="I17" s="14">
        <v>1</v>
      </c>
      <c r="J17" s="14">
        <v>0</v>
      </c>
      <c r="K17" s="14">
        <v>1.3</v>
      </c>
      <c r="L17" s="14">
        <v>0</v>
      </c>
      <c r="M17" s="14">
        <v>0</v>
      </c>
      <c r="N17" s="14">
        <v>31.5</v>
      </c>
      <c r="O17" s="14">
        <v>100</v>
      </c>
      <c r="P17" s="51">
        <v>0.31111111111111112</v>
      </c>
      <c r="Q17" s="10"/>
      <c r="R17" s="41"/>
      <c r="S17" s="30">
        <f t="shared" si="3"/>
        <v>6.0859999999999985</v>
      </c>
      <c r="T17" s="30">
        <v>11</v>
      </c>
      <c r="U17" s="30">
        <f t="shared" si="4"/>
        <v>0.10000000000000142</v>
      </c>
      <c r="V17" s="30">
        <f t="shared" si="13"/>
        <v>8.1024667931689956E-2</v>
      </c>
      <c r="W17" s="30">
        <f t="shared" si="5"/>
        <v>1.8975332068311465E-2</v>
      </c>
      <c r="X17" s="30">
        <f>V17+V16+V15+V14+V13+V12+V11+V10+V9+V8+V7+V6</f>
        <v>3.8891840607210604</v>
      </c>
      <c r="Y17" s="30">
        <f t="shared" si="14"/>
        <v>1.01081593927894</v>
      </c>
      <c r="Z17" s="30">
        <f t="shared" si="6"/>
        <v>6.1049753320683102</v>
      </c>
      <c r="AA17" s="31">
        <f t="shared" si="7"/>
        <v>0.16557248543975439</v>
      </c>
      <c r="AC17" s="18"/>
      <c r="AD17" s="18"/>
      <c r="AE17" s="24"/>
      <c r="AF17" s="25"/>
      <c r="AG17" s="19">
        <v>9</v>
      </c>
      <c r="AH17" s="19">
        <f t="shared" si="8"/>
        <v>1</v>
      </c>
      <c r="AI17" s="19">
        <f t="shared" si="0"/>
        <v>75</v>
      </c>
      <c r="AJ17" s="21">
        <v>0.28699999999999998</v>
      </c>
      <c r="AK17" s="19">
        <f t="shared" si="9"/>
        <v>4.8494748749999997E-2</v>
      </c>
      <c r="AL17" s="19">
        <f t="shared" si="10"/>
        <v>5.0751840607210621</v>
      </c>
      <c r="AM17" s="19">
        <f t="shared" si="11"/>
        <v>125.49812416545407</v>
      </c>
      <c r="AN17" s="19">
        <f t="shared" si="1"/>
        <v>104.65430157983987</v>
      </c>
      <c r="AO17" s="19">
        <f t="shared" si="12"/>
        <v>0.1984264451382734</v>
      </c>
      <c r="AP17" s="19">
        <f t="shared" si="2"/>
        <v>125.49812416545407</v>
      </c>
      <c r="AQ17" s="35"/>
      <c r="AS17" s="48"/>
      <c r="AT17" s="48"/>
      <c r="AU17" s="48"/>
      <c r="AV17" s="48"/>
      <c r="AW17" s="10"/>
    </row>
    <row r="18" spans="2:49" x14ac:dyDescent="0.25">
      <c r="B18" s="12" t="s">
        <v>206</v>
      </c>
      <c r="C18" s="13">
        <v>24.5</v>
      </c>
      <c r="D18" s="14">
        <v>14</v>
      </c>
      <c r="E18" s="14">
        <v>14</v>
      </c>
      <c r="F18" s="14">
        <v>14</v>
      </c>
      <c r="G18" s="14">
        <v>20</v>
      </c>
      <c r="H18" s="14">
        <v>3.7</v>
      </c>
      <c r="I18" s="14">
        <v>1</v>
      </c>
      <c r="J18" s="14">
        <v>0</v>
      </c>
      <c r="K18" s="14">
        <v>1.3</v>
      </c>
      <c r="L18" s="14">
        <v>0</v>
      </c>
      <c r="M18" s="14">
        <v>0</v>
      </c>
      <c r="N18" s="14">
        <v>31.4</v>
      </c>
      <c r="O18" s="14">
        <v>100</v>
      </c>
      <c r="P18" s="51">
        <v>0.31458333333333333</v>
      </c>
      <c r="Q18" s="10"/>
      <c r="R18" s="41"/>
      <c r="S18" s="30">
        <f t="shared" si="3"/>
        <v>5.9859999999999971</v>
      </c>
      <c r="T18" s="30">
        <v>12</v>
      </c>
      <c r="U18" s="30">
        <f t="shared" si="4"/>
        <v>0.10000000000000142</v>
      </c>
      <c r="V18" s="30">
        <f t="shared" si="13"/>
        <v>8.1024667931689956E-2</v>
      </c>
      <c r="W18" s="30">
        <f t="shared" si="5"/>
        <v>1.8975332068311465E-2</v>
      </c>
      <c r="X18" s="30">
        <f>V18+V17+V16+V15+V14+V13+V12+V11+V10+V9+V8+V7+V6</f>
        <v>3.9702087286527501</v>
      </c>
      <c r="Y18" s="30">
        <f t="shared" si="14"/>
        <v>0.92979127134725026</v>
      </c>
      <c r="Z18" s="30">
        <f t="shared" si="6"/>
        <v>6.0049753320683088</v>
      </c>
      <c r="AA18" s="31">
        <f t="shared" si="7"/>
        <v>0.15483681779372105</v>
      </c>
      <c r="AC18" s="18"/>
      <c r="AD18" s="18"/>
      <c r="AE18" s="24"/>
      <c r="AF18" s="25"/>
      <c r="AG18" s="19">
        <v>9</v>
      </c>
      <c r="AH18" s="19">
        <f t="shared" si="8"/>
        <v>0</v>
      </c>
      <c r="AI18" s="19">
        <f t="shared" si="0"/>
        <v>76</v>
      </c>
      <c r="AJ18" s="21">
        <v>0.28699999999999998</v>
      </c>
      <c r="AK18" s="19">
        <f t="shared" si="9"/>
        <v>4.9141345399999994E-2</v>
      </c>
      <c r="AL18" s="19">
        <f t="shared" si="10"/>
        <v>5.0562087286527504</v>
      </c>
      <c r="AM18" s="19">
        <f t="shared" si="11"/>
        <v>121.81188673763901</v>
      </c>
      <c r="AN18" s="19">
        <f t="shared" si="1"/>
        <v>102.89113347419159</v>
      </c>
      <c r="AO18" s="19">
        <f t="shared" si="12"/>
        <v>0.18320345828307749</v>
      </c>
      <c r="AP18" s="19">
        <f t="shared" si="2"/>
        <v>121.81188673763901</v>
      </c>
      <c r="AQ18" s="35"/>
      <c r="AS18" s="48"/>
      <c r="AT18" s="48"/>
      <c r="AU18" s="48"/>
      <c r="AV18" s="48"/>
      <c r="AW18" s="10"/>
    </row>
    <row r="19" spans="2:49" x14ac:dyDescent="0.25">
      <c r="B19" s="12" t="s">
        <v>207</v>
      </c>
      <c r="C19" s="13">
        <v>24</v>
      </c>
      <c r="D19" s="14">
        <v>14</v>
      </c>
      <c r="E19" s="14">
        <v>14</v>
      </c>
      <c r="F19" s="14">
        <v>14</v>
      </c>
      <c r="G19" s="14">
        <v>20</v>
      </c>
      <c r="H19" s="14">
        <v>3.9</v>
      </c>
      <c r="I19" s="14">
        <v>0</v>
      </c>
      <c r="J19" s="14">
        <v>0</v>
      </c>
      <c r="K19" s="14">
        <v>1.3</v>
      </c>
      <c r="L19" s="14">
        <v>0</v>
      </c>
      <c r="M19" s="14">
        <v>0</v>
      </c>
      <c r="N19" s="14">
        <v>31.4</v>
      </c>
      <c r="O19" s="14">
        <v>0</v>
      </c>
      <c r="P19" s="51">
        <v>0.30763888888888891</v>
      </c>
      <c r="Q19" s="10"/>
      <c r="R19" s="41"/>
      <c r="S19" s="30">
        <f t="shared" si="3"/>
        <v>5.9859999999999971</v>
      </c>
      <c r="T19" s="30">
        <v>13</v>
      </c>
      <c r="U19" s="30">
        <f t="shared" si="4"/>
        <v>0</v>
      </c>
      <c r="V19" s="30">
        <f t="shared" si="13"/>
        <v>0</v>
      </c>
      <c r="W19" s="30">
        <f t="shared" si="5"/>
        <v>0</v>
      </c>
      <c r="X19" s="30">
        <f>V19+V18+V17+V16+V15+V14+V13+V12+V11+V10+V9+V8+V7+V6</f>
        <v>3.9702087286527501</v>
      </c>
      <c r="Y19" s="30">
        <f t="shared" si="14"/>
        <v>0.92979127134725026</v>
      </c>
      <c r="Z19" s="30">
        <f t="shared" si="6"/>
        <v>5.9859999999999971</v>
      </c>
      <c r="AA19" s="31">
        <f t="shared" si="7"/>
        <v>0.15532764305834459</v>
      </c>
      <c r="AC19" s="18"/>
      <c r="AD19" s="18"/>
      <c r="AG19" s="19">
        <v>9</v>
      </c>
      <c r="AH19" s="19">
        <f t="shared" si="8"/>
        <v>0</v>
      </c>
      <c r="AI19" s="19">
        <f t="shared" si="0"/>
        <v>76</v>
      </c>
      <c r="AJ19" s="21">
        <v>0.28699999999999998</v>
      </c>
      <c r="AK19" s="19">
        <f t="shared" si="9"/>
        <v>4.9141345399999994E-2</v>
      </c>
      <c r="AL19" s="19">
        <f t="shared" si="10"/>
        <v>5.0562087286527504</v>
      </c>
      <c r="AM19" s="19">
        <f t="shared" si="11"/>
        <v>121.81188673763901</v>
      </c>
      <c r="AN19" s="19">
        <f t="shared" si="1"/>
        <v>102.89113347419159</v>
      </c>
      <c r="AO19" s="19">
        <f t="shared" si="12"/>
        <v>0.18389099842304138</v>
      </c>
      <c r="AP19" s="19">
        <f t="shared" si="2"/>
        <v>121.81188673763901</v>
      </c>
      <c r="AQ19" s="35"/>
      <c r="AS19" s="48"/>
      <c r="AT19" s="48"/>
      <c r="AU19" s="48"/>
      <c r="AV19" s="48"/>
      <c r="AW19" s="10"/>
    </row>
    <row r="20" spans="2:49" x14ac:dyDescent="0.25">
      <c r="B20" s="12" t="s">
        <v>208</v>
      </c>
      <c r="C20" s="13">
        <v>23.5</v>
      </c>
      <c r="D20" s="52">
        <v>14</v>
      </c>
      <c r="E20" s="52">
        <v>14</v>
      </c>
      <c r="F20" s="52">
        <v>14</v>
      </c>
      <c r="G20" s="14">
        <v>20</v>
      </c>
      <c r="H20" s="14">
        <v>3.7</v>
      </c>
      <c r="I20" s="14">
        <v>0</v>
      </c>
      <c r="J20" s="14">
        <v>0</v>
      </c>
      <c r="K20" s="14">
        <v>1.3</v>
      </c>
      <c r="L20" s="14">
        <v>0</v>
      </c>
      <c r="M20" s="14">
        <v>0</v>
      </c>
      <c r="N20" s="52">
        <v>31.2</v>
      </c>
      <c r="O20" s="14">
        <v>200</v>
      </c>
      <c r="P20" s="51">
        <v>0.31180555555555556</v>
      </c>
      <c r="Q20" s="39"/>
      <c r="R20" s="41"/>
      <c r="S20" s="30">
        <f t="shared" si="3"/>
        <v>5.7859999999999978</v>
      </c>
      <c r="T20" s="30">
        <v>14</v>
      </c>
      <c r="U20" s="30">
        <f t="shared" si="4"/>
        <v>0.19999999999999929</v>
      </c>
      <c r="V20" s="30">
        <f t="shared" si="13"/>
        <v>0.16204933586337703</v>
      </c>
      <c r="W20" s="30">
        <f t="shared" si="5"/>
        <v>3.7950664136622264E-2</v>
      </c>
      <c r="X20" s="30">
        <f>V20+V19+V18+V17+V16+V15+V14+V13+V12+V11+V10+V9+V8+V7</f>
        <v>4.1322580645161269</v>
      </c>
      <c r="Y20" s="30">
        <f t="shared" si="14"/>
        <v>0.76774193548387348</v>
      </c>
      <c r="Z20" s="30">
        <f t="shared" si="6"/>
        <v>5.8239506641366203</v>
      </c>
      <c r="AA20" s="31">
        <f t="shared" si="7"/>
        <v>0.13182493804618939</v>
      </c>
      <c r="AE20" s="26" t="s">
        <v>310</v>
      </c>
      <c r="AF20" s="27">
        <v>1360</v>
      </c>
      <c r="AG20" s="19">
        <v>9</v>
      </c>
      <c r="AH20" s="19">
        <f t="shared" si="8"/>
        <v>0</v>
      </c>
      <c r="AI20" s="19">
        <f t="shared" si="0"/>
        <v>76</v>
      </c>
      <c r="AJ20" s="21">
        <v>1.2869999999999999</v>
      </c>
      <c r="AK20" s="19">
        <f t="shared" si="9"/>
        <v>4.9141345399999994E-2</v>
      </c>
      <c r="AL20" s="19">
        <f t="shared" si="10"/>
        <v>5.0182580645161279</v>
      </c>
      <c r="AM20" s="19">
        <f t="shared" si="11"/>
        <v>117.7419940968893</v>
      </c>
      <c r="AN20" s="19">
        <f t="shared" si="1"/>
        <v>102.11885783078557</v>
      </c>
      <c r="AO20" s="19">
        <f t="shared" si="12"/>
        <v>0.15184142441216866</v>
      </c>
      <c r="AP20" s="19">
        <f t="shared" si="2"/>
        <v>117.7419940968893</v>
      </c>
      <c r="AQ20" s="35"/>
      <c r="AS20" s="53"/>
      <c r="AT20" s="53"/>
      <c r="AU20" s="53"/>
      <c r="AV20" s="10"/>
      <c r="AW20" s="10"/>
    </row>
    <row r="21" spans="2:49" x14ac:dyDescent="0.25">
      <c r="B21" s="47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50"/>
      <c r="Q21" s="10"/>
      <c r="R21" s="42"/>
      <c r="S21" s="30"/>
      <c r="T21" s="30"/>
      <c r="U21" s="30"/>
      <c r="V21" s="30"/>
      <c r="W21" s="30"/>
      <c r="X21" s="30"/>
      <c r="Y21" s="30"/>
      <c r="Z21" s="30"/>
      <c r="AA21" s="31"/>
      <c r="AG21" s="19"/>
      <c r="AH21" s="19"/>
      <c r="AI21" s="19"/>
      <c r="AJ21" s="21"/>
      <c r="AK21" s="19"/>
      <c r="AL21" s="19"/>
      <c r="AM21" s="19"/>
      <c r="AN21" s="19"/>
      <c r="AO21" s="19"/>
      <c r="AP21" s="19"/>
      <c r="AQ21" s="35"/>
      <c r="AS21" s="48"/>
      <c r="AT21" s="48"/>
      <c r="AU21" s="48"/>
      <c r="AV21" s="10"/>
    </row>
    <row r="22" spans="2:49" x14ac:dyDescent="0.25">
      <c r="B22" s="63" t="s">
        <v>303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10"/>
      <c r="R22" s="42"/>
      <c r="S22" s="11" t="s">
        <v>305</v>
      </c>
      <c r="T22" s="11"/>
      <c r="U22" s="11"/>
      <c r="V22" s="11"/>
      <c r="W22" s="11"/>
      <c r="X22" s="11"/>
      <c r="Y22" s="11"/>
      <c r="Z22" s="11"/>
      <c r="AA22" s="11"/>
      <c r="AG22" s="63" t="s">
        <v>305</v>
      </c>
      <c r="AH22" s="63"/>
      <c r="AI22" s="63"/>
      <c r="AJ22" s="63"/>
      <c r="AK22" s="63"/>
      <c r="AL22" s="63"/>
      <c r="AM22" s="63"/>
      <c r="AN22" s="63"/>
      <c r="AO22" s="63"/>
      <c r="AP22" s="63"/>
      <c r="AQ22" s="35"/>
      <c r="AT22" s="10"/>
      <c r="AU22" s="10"/>
      <c r="AV22" s="10"/>
    </row>
    <row r="23" spans="2:49" x14ac:dyDescent="0.25">
      <c r="Q23" s="10"/>
      <c r="R23" s="42"/>
      <c r="AQ23" s="35"/>
      <c r="AT23" s="10"/>
      <c r="AU23" s="10"/>
      <c r="AV23" s="10"/>
    </row>
    <row r="24" spans="2:49" x14ac:dyDescent="0.25">
      <c r="B24" s="39"/>
      <c r="C24" s="3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42"/>
      <c r="Q24" s="10"/>
      <c r="R24" s="42"/>
      <c r="S24" t="s">
        <v>313</v>
      </c>
      <c r="X24" s="8">
        <v>4.9000000000000004</v>
      </c>
      <c r="Y24" s="30"/>
      <c r="Z24" s="30"/>
      <c r="AA24" s="31"/>
      <c r="AG24" s="19"/>
      <c r="AH24" s="19"/>
      <c r="AI24" s="19"/>
      <c r="AJ24" s="21"/>
      <c r="AK24" s="19"/>
      <c r="AL24" s="19"/>
      <c r="AM24" s="19"/>
      <c r="AN24" s="19"/>
      <c r="AO24" s="19"/>
      <c r="AP24" s="19"/>
      <c r="AQ24" s="35"/>
      <c r="AT24" s="10"/>
      <c r="AU24" s="10"/>
      <c r="AV24" s="10"/>
    </row>
    <row r="25" spans="2:49" x14ac:dyDescent="0.25">
      <c r="B25" s="39"/>
      <c r="C25" s="3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42"/>
      <c r="Q25" s="10"/>
      <c r="R25" s="42"/>
      <c r="S25" t="s">
        <v>312</v>
      </c>
      <c r="X25" s="8">
        <v>0.61399999999999999</v>
      </c>
      <c r="Y25" s="30"/>
      <c r="Z25" s="30"/>
      <c r="AA25" s="31"/>
      <c r="AG25" s="19"/>
      <c r="AH25" s="19"/>
      <c r="AI25" s="19"/>
      <c r="AJ25" s="21"/>
      <c r="AK25" s="19"/>
      <c r="AL25" s="19"/>
      <c r="AM25" s="19"/>
      <c r="AN25" s="19"/>
      <c r="AO25" s="19"/>
      <c r="AP25" s="19"/>
      <c r="AQ25" s="35"/>
      <c r="AT25" s="10"/>
      <c r="AU25" s="10"/>
      <c r="AV25" s="10"/>
    </row>
    <row r="26" spans="2:49" x14ac:dyDescent="0.25">
      <c r="B26" s="39"/>
      <c r="C26" s="3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2"/>
      <c r="Q26" s="10"/>
      <c r="R26" s="42"/>
      <c r="S26" t="s">
        <v>311</v>
      </c>
      <c r="X26" s="8">
        <f>S6-S20</f>
        <v>5.0999999999999979</v>
      </c>
      <c r="Y26" s="30"/>
      <c r="Z26" s="30"/>
      <c r="AA26" s="31"/>
      <c r="AG26" s="19"/>
      <c r="AH26" s="19"/>
      <c r="AI26" s="19"/>
      <c r="AJ26" s="21"/>
      <c r="AK26" s="19"/>
      <c r="AL26" s="19"/>
      <c r="AM26" s="19"/>
      <c r="AN26" s="19"/>
      <c r="AO26" s="19"/>
      <c r="AP26" s="19"/>
      <c r="AQ26" s="35"/>
      <c r="AT26" s="10"/>
      <c r="AU26" s="10"/>
      <c r="AV26" s="10"/>
    </row>
    <row r="27" spans="2:49" x14ac:dyDescent="0.25">
      <c r="B27" s="39"/>
      <c r="C27" s="3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42"/>
      <c r="S27" t="s">
        <v>314</v>
      </c>
      <c r="X27" s="8">
        <f>X24-X25</f>
        <v>4.2860000000000005</v>
      </c>
      <c r="Y27" s="30"/>
      <c r="Z27" s="30"/>
      <c r="AA27" s="31"/>
      <c r="AG27" s="19"/>
      <c r="AH27" s="19"/>
      <c r="AI27" s="19"/>
      <c r="AJ27" s="21"/>
      <c r="AK27" s="19"/>
      <c r="AL27" s="19"/>
      <c r="AM27" s="19"/>
      <c r="AN27" s="19"/>
      <c r="AO27" s="19"/>
      <c r="AP27" s="19"/>
      <c r="AQ27" s="35"/>
      <c r="AT27" s="10"/>
      <c r="AU27" s="10"/>
      <c r="AV27" s="10"/>
    </row>
    <row r="28" spans="2:49" x14ac:dyDescent="0.25">
      <c r="S28" t="s">
        <v>315</v>
      </c>
      <c r="X28" s="8">
        <f>X26-X27</f>
        <v>0.81399999999999739</v>
      </c>
      <c r="AQ28" s="35"/>
    </row>
    <row r="29" spans="2:49" x14ac:dyDescent="0.25">
      <c r="AQ29" s="35"/>
    </row>
    <row r="30" spans="2:49" x14ac:dyDescent="0.25">
      <c r="S30" t="s">
        <v>316</v>
      </c>
      <c r="X30" s="29">
        <f>X27/X28</f>
        <v>5.2653562653562824</v>
      </c>
      <c r="AQ30" s="35"/>
    </row>
    <row r="31" spans="2:49" x14ac:dyDescent="0.25">
      <c r="AQ31" s="35"/>
    </row>
    <row r="32" spans="2:49" x14ac:dyDescent="0.25">
      <c r="AQ32" s="35"/>
    </row>
    <row r="33" spans="1:43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4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8"/>
    </row>
    <row r="35" spans="1:43" x14ac:dyDescent="0.25">
      <c r="Y35" s="18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10" spans="46:46" x14ac:dyDescent="0.25">
      <c r="AT410" s="7"/>
    </row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54" spans="46:46" x14ac:dyDescent="0.25">
      <c r="AT554" s="7"/>
    </row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84" spans="46:46" x14ac:dyDescent="0.25">
      <c r="AT684" s="7"/>
    </row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</sheetData>
  <mergeCells count="2">
    <mergeCell ref="B22:P22"/>
    <mergeCell ref="AG22:AP2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82F94-58DA-4DB7-9972-001CB1A4AFAA}">
  <dimension ref="A1:AW1314"/>
  <sheetViews>
    <sheetView zoomScale="70" zoomScaleNormal="70" workbookViewId="0">
      <selection activeCell="K30" sqref="K30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4.710937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</cols>
  <sheetData>
    <row r="1" spans="2:49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9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9" x14ac:dyDescent="0.25">
      <c r="L3" s="9"/>
      <c r="M3" s="10"/>
      <c r="AQ3" s="35"/>
    </row>
    <row r="4" spans="2:49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371</v>
      </c>
      <c r="W4" s="17" t="s">
        <v>372</v>
      </c>
      <c r="X4" s="17" t="s">
        <v>373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9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9" x14ac:dyDescent="0.25">
      <c r="B6" s="12" t="s">
        <v>208</v>
      </c>
      <c r="C6" s="13">
        <v>38.4</v>
      </c>
      <c r="D6" s="14">
        <v>5</v>
      </c>
      <c r="E6" s="14">
        <v>5</v>
      </c>
      <c r="F6" s="14">
        <v>5</v>
      </c>
      <c r="G6" s="14">
        <v>20</v>
      </c>
      <c r="H6" s="14">
        <v>0.1</v>
      </c>
      <c r="I6" s="14">
        <v>0</v>
      </c>
      <c r="J6" s="14">
        <v>0</v>
      </c>
      <c r="K6" s="14">
        <v>20.9</v>
      </c>
      <c r="L6" s="14">
        <v>0</v>
      </c>
      <c r="M6" s="14">
        <v>0</v>
      </c>
      <c r="N6" s="14">
        <v>40.200000000000003</v>
      </c>
      <c r="O6" s="14">
        <v>0</v>
      </c>
      <c r="P6" s="51">
        <v>0.52222222222222225</v>
      </c>
      <c r="Q6" s="10"/>
      <c r="R6" s="41"/>
      <c r="S6" s="30">
        <f>N6-24.979</f>
        <v>15.221000000000004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6.85</v>
      </c>
      <c r="Z6" s="30">
        <f>S6-V6</f>
        <v>15.221000000000004</v>
      </c>
      <c r="AA6" s="31">
        <f>Y6/Z6</f>
        <v>0.45003613428815437</v>
      </c>
      <c r="AC6" s="18"/>
      <c r="AD6" s="18">
        <v>1000</v>
      </c>
      <c r="AE6" s="22" t="s">
        <v>309</v>
      </c>
      <c r="AF6" s="23">
        <v>1580</v>
      </c>
      <c r="AG6" s="19">
        <v>0</v>
      </c>
      <c r="AH6" s="19">
        <v>0</v>
      </c>
      <c r="AI6" s="19">
        <f t="shared" ref="AI6:AI20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8.3710000000000004</v>
      </c>
      <c r="AM6" s="19">
        <f>S6/AK6</f>
        <v>309.73917942425737</v>
      </c>
      <c r="AN6" s="19">
        <f t="shared" ref="AN6:AN20" si="1">AL6/AK6</f>
        <v>170.34535647857948</v>
      </c>
      <c r="AO6" s="19">
        <f>(AA6/(1-AA6))</f>
        <v>0.81830127822243404</v>
      </c>
      <c r="AP6" s="19">
        <f t="shared" ref="AP6:AP20" si="2">AM6/(1+AQ6)</f>
        <v>309.73917942425737</v>
      </c>
      <c r="AQ6" s="35"/>
      <c r="AS6" s="48"/>
      <c r="AT6" s="48"/>
      <c r="AU6" s="48"/>
      <c r="AV6" s="48"/>
      <c r="AW6" s="10"/>
    </row>
    <row r="7" spans="2:49" x14ac:dyDescent="0.25">
      <c r="B7" s="12" t="s">
        <v>209</v>
      </c>
      <c r="C7" s="13">
        <v>62.2</v>
      </c>
      <c r="D7" s="14">
        <v>7</v>
      </c>
      <c r="E7" s="14">
        <v>7</v>
      </c>
      <c r="F7" s="14">
        <v>7</v>
      </c>
      <c r="G7" s="14">
        <v>20</v>
      </c>
      <c r="H7" s="14">
        <v>99</v>
      </c>
      <c r="I7" s="14">
        <v>0</v>
      </c>
      <c r="J7" s="14">
        <v>0</v>
      </c>
      <c r="K7" s="14">
        <v>1.3</v>
      </c>
      <c r="L7" s="14">
        <v>0</v>
      </c>
      <c r="M7" s="14">
        <v>0</v>
      </c>
      <c r="N7" s="14">
        <v>38.4</v>
      </c>
      <c r="O7" s="14">
        <v>1800</v>
      </c>
      <c r="P7" s="51">
        <v>0.30555555555555552</v>
      </c>
      <c r="Q7" s="10"/>
      <c r="R7" s="41"/>
      <c r="S7" s="30">
        <f t="shared" ref="S7:S20" si="3">N7-24.979</f>
        <v>13.420999999999999</v>
      </c>
      <c r="T7" s="30">
        <v>1</v>
      </c>
      <c r="U7" s="30">
        <f t="shared" ref="U7:U20" si="4">S6-S7</f>
        <v>1.8000000000000043</v>
      </c>
      <c r="V7" s="30">
        <f>U7-(U7/5.74)</f>
        <v>1.4864111498257875</v>
      </c>
      <c r="W7" s="30">
        <f t="shared" ref="W7:W20" si="5">U7-V7</f>
        <v>0.31358885017421678</v>
      </c>
      <c r="X7" s="30">
        <f>V7+V6</f>
        <v>1.4864111498257875</v>
      </c>
      <c r="Y7" s="30">
        <f>6.85-X7</f>
        <v>5.3635888501742119</v>
      </c>
      <c r="Z7" s="30">
        <f t="shared" ref="Z7:Z20" si="6">S6-V7</f>
        <v>13.734588850174216</v>
      </c>
      <c r="AA7" s="31">
        <f t="shared" ref="AA7:AA20" si="7">Y7/Z7</f>
        <v>0.3905168846831682</v>
      </c>
      <c r="AC7" s="18"/>
      <c r="AD7" s="18"/>
      <c r="AE7" s="24"/>
      <c r="AF7" s="25"/>
      <c r="AG7" s="19">
        <v>2</v>
      </c>
      <c r="AH7" s="19">
        <f t="shared" ref="AH7:AH20" si="8">AG7-AG6</f>
        <v>2</v>
      </c>
      <c r="AI7" s="19">
        <f t="shared" si="0"/>
        <v>74</v>
      </c>
      <c r="AJ7" s="21">
        <v>0.28699999999999998</v>
      </c>
      <c r="AK7" s="19">
        <f t="shared" ref="AK7:AK20" si="9">((($AJ$6*$AJ$6)*3.14)/4)*(AI7/100)</f>
        <v>4.7848152099999992E-2</v>
      </c>
      <c r="AL7" s="19">
        <f t="shared" ref="AL7:AL20" si="10">AL6-W7</f>
        <v>8.0574111498257839</v>
      </c>
      <c r="AM7" s="19">
        <f t="shared" ref="AM7:AM20" si="11">S7/AK7</f>
        <v>280.49150094555063</v>
      </c>
      <c r="AN7" s="19">
        <f t="shared" si="1"/>
        <v>168.3954509462819</v>
      </c>
      <c r="AO7" s="19">
        <f t="shared" ref="AO7:AO20" si="12">(AA7/(1-AA7))</f>
        <v>0.64073454189155521</v>
      </c>
      <c r="AP7" s="19">
        <f t="shared" si="2"/>
        <v>280.49150094555063</v>
      </c>
      <c r="AQ7" s="35"/>
      <c r="AS7" s="48"/>
      <c r="AT7" s="48"/>
      <c r="AU7" s="48"/>
      <c r="AV7" s="48"/>
      <c r="AW7" s="10"/>
    </row>
    <row r="8" spans="2:49" x14ac:dyDescent="0.25">
      <c r="B8" s="12" t="s">
        <v>210</v>
      </c>
      <c r="C8" s="13">
        <v>48.7</v>
      </c>
      <c r="D8" s="14">
        <v>8</v>
      </c>
      <c r="E8" s="14">
        <v>8</v>
      </c>
      <c r="F8" s="14">
        <v>8</v>
      </c>
      <c r="G8" s="14">
        <v>20</v>
      </c>
      <c r="H8" s="14">
        <v>47.1</v>
      </c>
      <c r="I8" s="14">
        <v>0</v>
      </c>
      <c r="J8" s="14">
        <v>0</v>
      </c>
      <c r="K8" s="14">
        <v>1.3</v>
      </c>
      <c r="L8" s="14">
        <v>0</v>
      </c>
      <c r="M8" s="14">
        <v>0</v>
      </c>
      <c r="N8" s="14">
        <v>36.6</v>
      </c>
      <c r="O8" s="14">
        <v>1800</v>
      </c>
      <c r="P8" s="51">
        <v>0.31597222222222221</v>
      </c>
      <c r="Q8" s="10"/>
      <c r="R8" s="41"/>
      <c r="S8" s="30">
        <f t="shared" si="3"/>
        <v>11.621000000000002</v>
      </c>
      <c r="T8" s="30">
        <v>2</v>
      </c>
      <c r="U8" s="30">
        <f t="shared" si="4"/>
        <v>1.7999999999999972</v>
      </c>
      <c r="V8" s="30">
        <f t="shared" ref="V8:V20" si="13">U8-(U8/5.74)</f>
        <v>1.4864111498257817</v>
      </c>
      <c r="W8" s="30">
        <f t="shared" si="5"/>
        <v>0.31358885017421545</v>
      </c>
      <c r="X8" s="30">
        <f>V7+V8+V6</f>
        <v>2.9728222996515692</v>
      </c>
      <c r="Y8" s="30">
        <f t="shared" ref="Y8:Y20" si="14">6.85-X8</f>
        <v>3.8771777003484305</v>
      </c>
      <c r="Z8" s="30">
        <f t="shared" si="6"/>
        <v>11.934588850174217</v>
      </c>
      <c r="AA8" s="31">
        <f t="shared" si="7"/>
        <v>0.32486897948661486</v>
      </c>
      <c r="AC8" s="18"/>
      <c r="AD8" s="18"/>
      <c r="AE8" s="24"/>
      <c r="AF8" s="25"/>
      <c r="AG8" s="19">
        <v>3</v>
      </c>
      <c r="AH8" s="19">
        <f t="shared" si="8"/>
        <v>1</v>
      </c>
      <c r="AI8" s="19">
        <f t="shared" si="0"/>
        <v>75</v>
      </c>
      <c r="AJ8" s="21">
        <v>0.28699999999999998</v>
      </c>
      <c r="AK8" s="19">
        <f t="shared" si="9"/>
        <v>4.8494748749999997E-2</v>
      </c>
      <c r="AL8" s="19">
        <f t="shared" si="10"/>
        <v>7.7438222996515682</v>
      </c>
      <c r="AM8" s="19">
        <f t="shared" si="11"/>
        <v>239.63419338263924</v>
      </c>
      <c r="AN8" s="19">
        <f t="shared" si="1"/>
        <v>159.68372863570241</v>
      </c>
      <c r="AO8" s="19">
        <f t="shared" si="12"/>
        <v>0.4811939751184548</v>
      </c>
      <c r="AP8" s="19">
        <f t="shared" si="2"/>
        <v>239.63419338263924</v>
      </c>
      <c r="AQ8" s="35"/>
      <c r="AS8" s="48"/>
      <c r="AT8" s="48"/>
      <c r="AU8" s="48"/>
      <c r="AV8" s="48"/>
      <c r="AW8" s="10"/>
    </row>
    <row r="9" spans="2:49" x14ac:dyDescent="0.25">
      <c r="B9" s="12" t="s">
        <v>211</v>
      </c>
      <c r="C9" s="13">
        <v>39.5</v>
      </c>
      <c r="D9" s="14">
        <v>9</v>
      </c>
      <c r="E9" s="14">
        <v>9</v>
      </c>
      <c r="F9" s="14">
        <v>9</v>
      </c>
      <c r="G9" s="14">
        <v>20</v>
      </c>
      <c r="H9" s="14">
        <v>86</v>
      </c>
      <c r="I9" s="14">
        <v>0</v>
      </c>
      <c r="J9" s="14">
        <v>0</v>
      </c>
      <c r="K9" s="14">
        <v>1.3</v>
      </c>
      <c r="L9" s="14">
        <v>0</v>
      </c>
      <c r="M9" s="14">
        <v>0</v>
      </c>
      <c r="N9" s="14">
        <v>35.9</v>
      </c>
      <c r="O9" s="14">
        <v>700</v>
      </c>
      <c r="P9" s="51">
        <v>0.32708333333333334</v>
      </c>
      <c r="Q9" s="10"/>
      <c r="R9" s="41"/>
      <c r="S9" s="30">
        <f t="shared" si="3"/>
        <v>10.920999999999999</v>
      </c>
      <c r="T9" s="30">
        <v>3</v>
      </c>
      <c r="U9" s="30">
        <f t="shared" si="4"/>
        <v>0.70000000000000284</v>
      </c>
      <c r="V9" s="30">
        <f t="shared" si="13"/>
        <v>0.57804878048780717</v>
      </c>
      <c r="W9" s="30">
        <f t="shared" si="5"/>
        <v>0.12195121951219567</v>
      </c>
      <c r="X9" s="30">
        <f>V9+V8+V7+V6</f>
        <v>3.5508710801393768</v>
      </c>
      <c r="Y9" s="30">
        <f t="shared" si="14"/>
        <v>3.2991289198606228</v>
      </c>
      <c r="Z9" s="30">
        <f t="shared" si="6"/>
        <v>11.042951219512195</v>
      </c>
      <c r="AA9" s="31">
        <f t="shared" si="7"/>
        <v>0.29875427811645777</v>
      </c>
      <c r="AC9" s="18"/>
      <c r="AD9" s="18"/>
      <c r="AE9" s="24"/>
      <c r="AF9" s="25"/>
      <c r="AG9" s="19">
        <v>4</v>
      </c>
      <c r="AH9" s="19">
        <f t="shared" si="8"/>
        <v>1</v>
      </c>
      <c r="AI9" s="19">
        <f t="shared" si="0"/>
        <v>75</v>
      </c>
      <c r="AJ9" s="21">
        <v>0.28699999999999998</v>
      </c>
      <c r="AK9" s="19">
        <f t="shared" si="9"/>
        <v>4.8494748749999997E-2</v>
      </c>
      <c r="AL9" s="19">
        <f t="shared" si="10"/>
        <v>7.621871080139373</v>
      </c>
      <c r="AM9" s="19">
        <f t="shared" si="11"/>
        <v>225.1996408167802</v>
      </c>
      <c r="AN9" s="19">
        <f t="shared" si="1"/>
        <v>157.16899822353184</v>
      </c>
      <c r="AO9" s="19">
        <f t="shared" si="12"/>
        <v>0.42603365524142583</v>
      </c>
      <c r="AP9" s="19">
        <f t="shared" si="2"/>
        <v>225.1996408167802</v>
      </c>
      <c r="AQ9" s="35"/>
      <c r="AS9" s="48"/>
      <c r="AT9" s="48"/>
      <c r="AU9" s="48"/>
      <c r="AV9" s="48"/>
      <c r="AW9" s="10"/>
    </row>
    <row r="10" spans="2:49" x14ac:dyDescent="0.25">
      <c r="B10" s="12" t="s">
        <v>212</v>
      </c>
      <c r="C10" s="13">
        <v>43.4</v>
      </c>
      <c r="D10" s="14">
        <v>9</v>
      </c>
      <c r="E10" s="14">
        <v>9</v>
      </c>
      <c r="F10" s="14">
        <v>9</v>
      </c>
      <c r="G10" s="14">
        <v>20</v>
      </c>
      <c r="H10" s="14">
        <v>65.8</v>
      </c>
      <c r="I10" s="14">
        <v>3</v>
      </c>
      <c r="J10" s="14">
        <v>0</v>
      </c>
      <c r="K10" s="14">
        <v>1.3</v>
      </c>
      <c r="L10" s="14">
        <v>0</v>
      </c>
      <c r="M10" s="14">
        <v>0</v>
      </c>
      <c r="N10" s="14">
        <v>35.1</v>
      </c>
      <c r="O10" s="14">
        <v>800</v>
      </c>
      <c r="P10" s="51">
        <v>0.32569444444444445</v>
      </c>
      <c r="Q10" s="10"/>
      <c r="R10" s="41"/>
      <c r="S10" s="30">
        <f t="shared" si="3"/>
        <v>10.121000000000002</v>
      </c>
      <c r="T10" s="30">
        <v>4</v>
      </c>
      <c r="U10" s="30">
        <f t="shared" si="4"/>
        <v>0.79999999999999716</v>
      </c>
      <c r="V10" s="30">
        <f t="shared" si="13"/>
        <v>0.66062717770034607</v>
      </c>
      <c r="W10" s="30">
        <f t="shared" si="5"/>
        <v>0.13937282229965109</v>
      </c>
      <c r="X10" s="30">
        <f>V10+V9+V8+V7+V6</f>
        <v>4.2114982578397226</v>
      </c>
      <c r="Y10" s="30">
        <f t="shared" si="14"/>
        <v>2.638501742160277</v>
      </c>
      <c r="Z10" s="30">
        <f t="shared" si="6"/>
        <v>10.260372822299653</v>
      </c>
      <c r="AA10" s="31">
        <f t="shared" si="7"/>
        <v>0.25715456814842241</v>
      </c>
      <c r="AC10" s="18"/>
      <c r="AD10" s="18"/>
      <c r="AE10" s="24"/>
      <c r="AF10" s="25"/>
      <c r="AG10" s="19">
        <v>4</v>
      </c>
      <c r="AH10" s="19">
        <f t="shared" si="8"/>
        <v>0</v>
      </c>
      <c r="AI10" s="19">
        <f t="shared" si="0"/>
        <v>76</v>
      </c>
      <c r="AJ10" s="21">
        <v>0.28699999999999998</v>
      </c>
      <c r="AK10" s="19">
        <f t="shared" si="9"/>
        <v>4.9141345399999994E-2</v>
      </c>
      <c r="AL10" s="19">
        <f t="shared" si="10"/>
        <v>7.4824982578397217</v>
      </c>
      <c r="AM10" s="19">
        <f t="shared" si="11"/>
        <v>205.95691708513954</v>
      </c>
      <c r="AN10" s="19">
        <f t="shared" si="1"/>
        <v>152.26482297002235</v>
      </c>
      <c r="AO10" s="19">
        <f t="shared" si="12"/>
        <v>0.34617506835500411</v>
      </c>
      <c r="AP10" s="19">
        <f t="shared" si="2"/>
        <v>205.95691708513954</v>
      </c>
      <c r="AQ10" s="35"/>
      <c r="AS10" s="48"/>
      <c r="AT10" s="48"/>
      <c r="AU10" s="48"/>
      <c r="AV10" s="48"/>
      <c r="AW10" s="10"/>
    </row>
    <row r="11" spans="2:49" x14ac:dyDescent="0.25">
      <c r="B11" s="12" t="s">
        <v>213</v>
      </c>
      <c r="C11" s="13">
        <v>39.200000000000003</v>
      </c>
      <c r="D11" s="14">
        <v>10</v>
      </c>
      <c r="E11" s="14">
        <v>10</v>
      </c>
      <c r="F11" s="14">
        <v>10</v>
      </c>
      <c r="G11" s="14">
        <v>20</v>
      </c>
      <c r="H11" s="14">
        <v>43.2</v>
      </c>
      <c r="I11" s="14">
        <v>0</v>
      </c>
      <c r="J11" s="14">
        <v>0</v>
      </c>
      <c r="K11" s="14">
        <v>1.3</v>
      </c>
      <c r="L11" s="14">
        <v>0</v>
      </c>
      <c r="M11" s="14">
        <v>0</v>
      </c>
      <c r="N11" s="14">
        <v>34.299999999999997</v>
      </c>
      <c r="O11" s="14">
        <v>800</v>
      </c>
      <c r="P11" s="51">
        <v>0.3215277777777778</v>
      </c>
      <c r="Q11" s="10"/>
      <c r="R11" s="41"/>
      <c r="S11" s="30">
        <f t="shared" si="3"/>
        <v>9.320999999999998</v>
      </c>
      <c r="T11" s="30">
        <v>5</v>
      </c>
      <c r="U11" s="30">
        <f t="shared" si="4"/>
        <v>0.80000000000000426</v>
      </c>
      <c r="V11" s="30">
        <f t="shared" si="13"/>
        <v>0.66062717770035195</v>
      </c>
      <c r="W11" s="30">
        <f t="shared" si="5"/>
        <v>0.13937282229965231</v>
      </c>
      <c r="X11" s="30">
        <f>V11+V10+V9+V8+V7+V6</f>
        <v>4.8721254355400747</v>
      </c>
      <c r="Y11" s="30">
        <f t="shared" si="14"/>
        <v>1.9778745644599249</v>
      </c>
      <c r="Z11" s="30">
        <f t="shared" si="6"/>
        <v>9.4603728222996502</v>
      </c>
      <c r="AA11" s="31">
        <f t="shared" si="7"/>
        <v>0.20906941001286442</v>
      </c>
      <c r="AC11" s="18"/>
      <c r="AD11" s="18"/>
      <c r="AE11" s="24"/>
      <c r="AF11" s="25"/>
      <c r="AG11" s="19">
        <v>5</v>
      </c>
      <c r="AH11" s="19">
        <f t="shared" si="8"/>
        <v>1</v>
      </c>
      <c r="AI11" s="19">
        <f t="shared" si="0"/>
        <v>75</v>
      </c>
      <c r="AJ11" s="21">
        <v>0.28699999999999998</v>
      </c>
      <c r="AK11" s="19">
        <f t="shared" si="9"/>
        <v>4.8494748749999997E-2</v>
      </c>
      <c r="AL11" s="19">
        <f t="shared" si="10"/>
        <v>7.3431254355400695</v>
      </c>
      <c r="AM11" s="19">
        <f t="shared" si="11"/>
        <v>192.20637780910243</v>
      </c>
      <c r="AN11" s="19">
        <f t="shared" si="1"/>
        <v>151.42104299571344</v>
      </c>
      <c r="AO11" s="19">
        <f t="shared" si="12"/>
        <v>0.26433344804158465</v>
      </c>
      <c r="AP11" s="19">
        <f t="shared" si="2"/>
        <v>192.20637780910243</v>
      </c>
      <c r="AQ11" s="35"/>
      <c r="AS11" s="48"/>
      <c r="AT11" s="48"/>
      <c r="AU11" s="48"/>
      <c r="AV11" s="48"/>
      <c r="AW11" s="10"/>
    </row>
    <row r="12" spans="2:49" x14ac:dyDescent="0.25">
      <c r="B12" s="12" t="s">
        <v>214</v>
      </c>
      <c r="C12" s="13">
        <v>32.5</v>
      </c>
      <c r="D12" s="14">
        <v>11</v>
      </c>
      <c r="E12" s="14">
        <v>11</v>
      </c>
      <c r="F12" s="14">
        <v>11</v>
      </c>
      <c r="G12" s="14">
        <v>20</v>
      </c>
      <c r="H12" s="14">
        <v>8.1999999999999993</v>
      </c>
      <c r="I12" s="14">
        <v>0</v>
      </c>
      <c r="J12" s="14">
        <v>0</v>
      </c>
      <c r="K12" s="14">
        <v>1.3</v>
      </c>
      <c r="L12" s="14">
        <v>0</v>
      </c>
      <c r="M12" s="14">
        <v>0</v>
      </c>
      <c r="N12" s="14">
        <v>33.9</v>
      </c>
      <c r="O12" s="14">
        <v>400</v>
      </c>
      <c r="P12" s="51">
        <v>0.30069444444444443</v>
      </c>
      <c r="Q12" s="10"/>
      <c r="R12" s="41"/>
      <c r="S12" s="30">
        <f t="shared" si="3"/>
        <v>8.9209999999999994</v>
      </c>
      <c r="T12" s="30">
        <v>6</v>
      </c>
      <c r="U12" s="30">
        <f t="shared" si="4"/>
        <v>0.39999999999999858</v>
      </c>
      <c r="V12" s="30">
        <f t="shared" si="13"/>
        <v>0.33031358885017303</v>
      </c>
      <c r="W12" s="30">
        <f t="shared" si="5"/>
        <v>6.9686411149825545E-2</v>
      </c>
      <c r="X12" s="30">
        <f>V12+V11+V10+V9+V8+V7+V6</f>
        <v>5.2024390243902472</v>
      </c>
      <c r="Y12" s="30">
        <f t="shared" si="14"/>
        <v>1.6475609756097525</v>
      </c>
      <c r="Z12" s="30">
        <f t="shared" si="6"/>
        <v>8.9906864111498255</v>
      </c>
      <c r="AA12" s="31">
        <f t="shared" si="7"/>
        <v>0.18325196767696458</v>
      </c>
      <c r="AC12" s="18"/>
      <c r="AD12" s="18"/>
      <c r="AE12" s="24"/>
      <c r="AF12" s="25"/>
      <c r="AG12" s="19">
        <v>6</v>
      </c>
      <c r="AH12" s="19">
        <f t="shared" si="8"/>
        <v>1</v>
      </c>
      <c r="AI12" s="19">
        <f t="shared" si="0"/>
        <v>75</v>
      </c>
      <c r="AJ12" s="21">
        <v>0.28699999999999998</v>
      </c>
      <c r="AK12" s="19">
        <f t="shared" si="9"/>
        <v>4.8494748749999997E-2</v>
      </c>
      <c r="AL12" s="19">
        <f t="shared" si="10"/>
        <v>7.2734390243902443</v>
      </c>
      <c r="AM12" s="19">
        <f t="shared" si="11"/>
        <v>183.95806205718304</v>
      </c>
      <c r="AN12" s="19">
        <f t="shared" si="1"/>
        <v>149.98405418875885</v>
      </c>
      <c r="AO12" s="19">
        <f t="shared" si="12"/>
        <v>0.22436781041975726</v>
      </c>
      <c r="AP12" s="19">
        <f t="shared" si="2"/>
        <v>183.95806205718304</v>
      </c>
      <c r="AQ12" s="35"/>
      <c r="AS12" s="48"/>
      <c r="AT12" s="48"/>
      <c r="AU12" s="48"/>
      <c r="AV12" s="48"/>
      <c r="AW12" s="10"/>
    </row>
    <row r="13" spans="2:49" x14ac:dyDescent="0.25">
      <c r="B13" s="12" t="s">
        <v>215</v>
      </c>
      <c r="C13" s="13">
        <v>24.6</v>
      </c>
      <c r="D13" s="14">
        <v>11</v>
      </c>
      <c r="E13" s="14">
        <v>11</v>
      </c>
      <c r="F13" s="14">
        <v>11</v>
      </c>
      <c r="G13" s="14">
        <v>20</v>
      </c>
      <c r="H13" s="14">
        <v>4.0999999999999996</v>
      </c>
      <c r="I13" s="14">
        <v>0</v>
      </c>
      <c r="J13" s="14">
        <v>0</v>
      </c>
      <c r="K13" s="14">
        <v>1.3</v>
      </c>
      <c r="L13" s="14">
        <v>0</v>
      </c>
      <c r="M13" s="14">
        <v>0</v>
      </c>
      <c r="N13" s="14">
        <v>33.5</v>
      </c>
      <c r="O13" s="14">
        <v>400</v>
      </c>
      <c r="P13" s="51">
        <v>0.30277777777777776</v>
      </c>
      <c r="Q13" s="10"/>
      <c r="R13" s="41"/>
      <c r="S13" s="30">
        <f t="shared" si="3"/>
        <v>8.5210000000000008</v>
      </c>
      <c r="T13" s="30">
        <v>7</v>
      </c>
      <c r="U13" s="30">
        <f t="shared" si="4"/>
        <v>0.39999999999999858</v>
      </c>
      <c r="V13" s="30">
        <f t="shared" si="13"/>
        <v>0.33031358885017303</v>
      </c>
      <c r="W13" s="30">
        <f t="shared" si="5"/>
        <v>6.9686411149825545E-2</v>
      </c>
      <c r="X13" s="30">
        <f>V13+V12+V11+V10+V9+V8+V7+V6</f>
        <v>5.5327526132404206</v>
      </c>
      <c r="Y13" s="30">
        <f t="shared" si="14"/>
        <v>1.3172473867595791</v>
      </c>
      <c r="Z13" s="30">
        <f t="shared" si="6"/>
        <v>8.5906864111498269</v>
      </c>
      <c r="AA13" s="31">
        <f t="shared" si="7"/>
        <v>0.1533343581311416</v>
      </c>
      <c r="AC13" s="18"/>
      <c r="AD13" s="18"/>
      <c r="AE13" s="24"/>
      <c r="AF13" s="25"/>
      <c r="AG13" s="19">
        <v>6</v>
      </c>
      <c r="AH13" s="19">
        <f t="shared" si="8"/>
        <v>0</v>
      </c>
      <c r="AI13" s="19">
        <f t="shared" si="0"/>
        <v>76</v>
      </c>
      <c r="AJ13" s="21">
        <v>0.28699999999999998</v>
      </c>
      <c r="AK13" s="19">
        <f t="shared" si="9"/>
        <v>4.9141345399999994E-2</v>
      </c>
      <c r="AL13" s="19">
        <f t="shared" si="10"/>
        <v>7.203752613240419</v>
      </c>
      <c r="AM13" s="19">
        <f t="shared" si="11"/>
        <v>173.39777595914177</v>
      </c>
      <c r="AN13" s="19">
        <f t="shared" si="1"/>
        <v>146.59249873204368</v>
      </c>
      <c r="AO13" s="19">
        <f t="shared" si="12"/>
        <v>0.1811037918022565</v>
      </c>
      <c r="AP13" s="19">
        <f t="shared" si="2"/>
        <v>173.39777595914177</v>
      </c>
      <c r="AQ13" s="35"/>
      <c r="AS13" s="48"/>
      <c r="AT13" s="48"/>
      <c r="AU13" s="48"/>
      <c r="AV13" s="48"/>
      <c r="AW13" s="10"/>
    </row>
    <row r="14" spans="2:49" x14ac:dyDescent="0.25">
      <c r="B14" s="12" t="s">
        <v>216</v>
      </c>
      <c r="C14" s="13">
        <v>26.3</v>
      </c>
      <c r="D14" s="14">
        <v>11</v>
      </c>
      <c r="E14" s="14">
        <v>11</v>
      </c>
      <c r="F14" s="14">
        <v>11</v>
      </c>
      <c r="G14" s="14">
        <v>20</v>
      </c>
      <c r="H14" s="14">
        <v>4</v>
      </c>
      <c r="I14" s="14">
        <v>0</v>
      </c>
      <c r="J14" s="14">
        <v>0</v>
      </c>
      <c r="K14" s="14">
        <v>1.3</v>
      </c>
      <c r="L14" s="14">
        <v>0</v>
      </c>
      <c r="M14" s="14">
        <v>0</v>
      </c>
      <c r="N14" s="14">
        <v>33.4</v>
      </c>
      <c r="O14" s="14">
        <v>100</v>
      </c>
      <c r="P14" s="51">
        <v>0.32500000000000001</v>
      </c>
      <c r="Q14" s="10"/>
      <c r="R14" s="41"/>
      <c r="S14" s="30">
        <f t="shared" si="3"/>
        <v>8.4209999999999994</v>
      </c>
      <c r="T14" s="30">
        <v>8</v>
      </c>
      <c r="U14" s="30">
        <f t="shared" si="4"/>
        <v>0.10000000000000142</v>
      </c>
      <c r="V14" s="30">
        <f t="shared" si="13"/>
        <v>8.257839721254473E-2</v>
      </c>
      <c r="W14" s="30">
        <f t="shared" si="5"/>
        <v>1.7421602787456691E-2</v>
      </c>
      <c r="X14" s="30">
        <f>V14+V13+V12+V11+V10+V9+V8+V7+V6</f>
        <v>5.6153310104529659</v>
      </c>
      <c r="Y14" s="30">
        <f t="shared" si="14"/>
        <v>1.2346689895470337</v>
      </c>
      <c r="Z14" s="30">
        <f t="shared" si="6"/>
        <v>8.4384216027874555</v>
      </c>
      <c r="AA14" s="31">
        <f t="shared" si="7"/>
        <v>0.14631515793654903</v>
      </c>
      <c r="AC14" s="18"/>
      <c r="AD14" s="18"/>
      <c r="AE14" s="24"/>
      <c r="AF14" s="25"/>
      <c r="AG14" s="19">
        <v>6</v>
      </c>
      <c r="AH14" s="19">
        <f t="shared" si="8"/>
        <v>0</v>
      </c>
      <c r="AI14" s="19">
        <f t="shared" si="0"/>
        <v>76</v>
      </c>
      <c r="AJ14" s="21">
        <v>0.28699999999999998</v>
      </c>
      <c r="AK14" s="19">
        <f t="shared" si="9"/>
        <v>4.9141345399999994E-2</v>
      </c>
      <c r="AL14" s="19">
        <f t="shared" si="10"/>
        <v>7.1863310104529621</v>
      </c>
      <c r="AM14" s="19">
        <f t="shared" si="11"/>
        <v>171.36282963876687</v>
      </c>
      <c r="AN14" s="19">
        <f t="shared" si="1"/>
        <v>146.23797846717</v>
      </c>
      <c r="AO14" s="19">
        <f t="shared" si="12"/>
        <v>0.17139247498279231</v>
      </c>
      <c r="AP14" s="19">
        <f t="shared" si="2"/>
        <v>171.36282963876687</v>
      </c>
      <c r="AQ14" s="35"/>
      <c r="AS14" s="48"/>
      <c r="AT14" s="48"/>
      <c r="AU14" s="48"/>
      <c r="AV14" s="48"/>
      <c r="AW14" s="10"/>
    </row>
    <row r="15" spans="2:49" x14ac:dyDescent="0.25">
      <c r="B15" s="12" t="s">
        <v>217</v>
      </c>
      <c r="C15" s="13">
        <v>22.7</v>
      </c>
      <c r="D15" s="14">
        <v>11</v>
      </c>
      <c r="E15" s="14">
        <v>11</v>
      </c>
      <c r="F15" s="14">
        <v>11</v>
      </c>
      <c r="G15" s="14">
        <v>20</v>
      </c>
      <c r="H15" s="14">
        <v>4</v>
      </c>
      <c r="I15" s="14">
        <v>1</v>
      </c>
      <c r="J15" s="14">
        <v>0</v>
      </c>
      <c r="K15" s="14">
        <v>1.3</v>
      </c>
      <c r="L15" s="14">
        <v>0</v>
      </c>
      <c r="M15" s="14">
        <v>0</v>
      </c>
      <c r="N15" s="14">
        <v>33.200000000000003</v>
      </c>
      <c r="O15" s="14">
        <v>200</v>
      </c>
      <c r="P15" s="51">
        <v>0.3215277777777778</v>
      </c>
      <c r="Q15" s="10"/>
      <c r="R15" s="41"/>
      <c r="S15" s="30">
        <f t="shared" si="3"/>
        <v>8.2210000000000036</v>
      </c>
      <c r="T15" s="30">
        <v>9</v>
      </c>
      <c r="U15" s="30">
        <f t="shared" si="4"/>
        <v>0.19999999999999574</v>
      </c>
      <c r="V15" s="30">
        <f t="shared" si="13"/>
        <v>0.16515679442508358</v>
      </c>
      <c r="W15" s="30">
        <f t="shared" si="5"/>
        <v>3.4843205574912162E-2</v>
      </c>
      <c r="X15" s="30">
        <f>V15+V14+V13+V12+V11+V10+V9+V8+V7+V6</f>
        <v>5.7804878048780495</v>
      </c>
      <c r="Y15" s="30">
        <f t="shared" si="14"/>
        <v>1.0695121951219502</v>
      </c>
      <c r="Z15" s="30">
        <f t="shared" si="6"/>
        <v>8.2558432055749158</v>
      </c>
      <c r="AA15" s="31">
        <f t="shared" si="7"/>
        <v>0.12954608856909269</v>
      </c>
      <c r="AC15" s="18"/>
      <c r="AD15" s="18"/>
      <c r="AE15" s="24"/>
      <c r="AF15" s="25"/>
      <c r="AG15" s="19">
        <v>6</v>
      </c>
      <c r="AH15" s="19">
        <f t="shared" si="8"/>
        <v>0</v>
      </c>
      <c r="AI15" s="19">
        <f t="shared" si="0"/>
        <v>76</v>
      </c>
      <c r="AJ15" s="21">
        <v>0.28699999999999998</v>
      </c>
      <c r="AK15" s="19">
        <f t="shared" si="9"/>
        <v>4.9141345399999994E-2</v>
      </c>
      <c r="AL15" s="19">
        <f t="shared" si="10"/>
        <v>7.1514878048780499</v>
      </c>
      <c r="AM15" s="19">
        <f t="shared" si="11"/>
        <v>167.29293699801724</v>
      </c>
      <c r="AN15" s="19">
        <f t="shared" si="1"/>
        <v>145.52893793742265</v>
      </c>
      <c r="AO15" s="19">
        <f t="shared" si="12"/>
        <v>0.14882590205854393</v>
      </c>
      <c r="AP15" s="19">
        <f t="shared" si="2"/>
        <v>167.29293699801724</v>
      </c>
      <c r="AQ15" s="35"/>
      <c r="AS15" s="48"/>
      <c r="AT15" s="48"/>
      <c r="AU15" s="48"/>
      <c r="AV15" s="48"/>
      <c r="AW15" s="10"/>
    </row>
    <row r="16" spans="2:49" x14ac:dyDescent="0.25">
      <c r="B16" s="12" t="s">
        <v>218</v>
      </c>
      <c r="C16" s="13">
        <v>24</v>
      </c>
      <c r="D16" s="14">
        <v>13</v>
      </c>
      <c r="E16" s="14">
        <v>13</v>
      </c>
      <c r="F16" s="14">
        <v>13</v>
      </c>
      <c r="G16" s="14">
        <v>20</v>
      </c>
      <c r="H16" s="14">
        <v>4.2</v>
      </c>
      <c r="I16" s="14">
        <v>0</v>
      </c>
      <c r="J16" s="14">
        <v>0</v>
      </c>
      <c r="K16" s="14">
        <v>1.3</v>
      </c>
      <c r="L16" s="14">
        <v>0</v>
      </c>
      <c r="M16" s="14">
        <v>0</v>
      </c>
      <c r="N16" s="14">
        <v>33.1</v>
      </c>
      <c r="O16" s="14">
        <v>100</v>
      </c>
      <c r="P16" s="51">
        <v>0.32430555555555557</v>
      </c>
      <c r="Q16" s="10"/>
      <c r="R16" s="41"/>
      <c r="S16" s="30">
        <f t="shared" si="3"/>
        <v>8.1210000000000022</v>
      </c>
      <c r="T16" s="30">
        <v>10</v>
      </c>
      <c r="U16" s="30">
        <f t="shared" si="4"/>
        <v>0.10000000000000142</v>
      </c>
      <c r="V16" s="30">
        <f t="shared" si="13"/>
        <v>8.257839721254473E-2</v>
      </c>
      <c r="W16" s="30">
        <f t="shared" si="5"/>
        <v>1.7421602787456691E-2</v>
      </c>
      <c r="X16" s="30">
        <f>V16+V15+V14+V13+V12+V11+V10+V9+V8+V7+V6</f>
        <v>5.8630662020905939</v>
      </c>
      <c r="Y16" s="30">
        <f t="shared" si="14"/>
        <v>0.98693379790940572</v>
      </c>
      <c r="Z16" s="30">
        <f t="shared" si="6"/>
        <v>8.1384216027874583</v>
      </c>
      <c r="AA16" s="31">
        <f t="shared" si="7"/>
        <v>0.1212684530341086</v>
      </c>
      <c r="AC16" s="18"/>
      <c r="AD16" s="18"/>
      <c r="AE16" s="24"/>
      <c r="AF16" s="25"/>
      <c r="AG16" s="19">
        <v>8</v>
      </c>
      <c r="AH16" s="19">
        <f t="shared" si="8"/>
        <v>2</v>
      </c>
      <c r="AI16" s="19">
        <f t="shared" si="0"/>
        <v>74</v>
      </c>
      <c r="AJ16" s="21">
        <v>0.28699999999999998</v>
      </c>
      <c r="AK16" s="19">
        <f t="shared" si="9"/>
        <v>4.7848152099999992E-2</v>
      </c>
      <c r="AL16" s="19">
        <f t="shared" si="10"/>
        <v>7.1340662020905929</v>
      </c>
      <c r="AM16" s="19">
        <f t="shared" si="11"/>
        <v>169.7244228581192</v>
      </c>
      <c r="AN16" s="19">
        <f t="shared" si="1"/>
        <v>149.09805058261787</v>
      </c>
      <c r="AO16" s="19">
        <f t="shared" si="12"/>
        <v>0.13800398250504112</v>
      </c>
      <c r="AP16" s="19">
        <f t="shared" si="2"/>
        <v>169.7244228581192</v>
      </c>
      <c r="AQ16" s="35"/>
      <c r="AS16" s="48"/>
      <c r="AT16" s="48"/>
      <c r="AU16" s="48"/>
      <c r="AV16" s="48"/>
      <c r="AW16" s="10"/>
    </row>
    <row r="17" spans="2:49" x14ac:dyDescent="0.25">
      <c r="B17" s="15" t="s">
        <v>219</v>
      </c>
      <c r="C17" s="13">
        <v>26.4</v>
      </c>
      <c r="D17" s="14">
        <v>14</v>
      </c>
      <c r="E17" s="14">
        <v>14</v>
      </c>
      <c r="F17" s="14">
        <v>14</v>
      </c>
      <c r="G17" s="14">
        <v>20</v>
      </c>
      <c r="H17" s="14">
        <v>3.6</v>
      </c>
      <c r="I17" s="14">
        <v>0</v>
      </c>
      <c r="J17" s="14">
        <v>0</v>
      </c>
      <c r="K17" s="14">
        <v>1.3</v>
      </c>
      <c r="L17" s="14">
        <v>0</v>
      </c>
      <c r="M17" s="14">
        <v>0</v>
      </c>
      <c r="N17" s="14">
        <v>33.1</v>
      </c>
      <c r="O17" s="14">
        <v>0</v>
      </c>
      <c r="P17" s="51">
        <v>0.30902777777777779</v>
      </c>
      <c r="Q17" s="10"/>
      <c r="R17" s="41"/>
      <c r="S17" s="30">
        <f t="shared" si="3"/>
        <v>8.1210000000000022</v>
      </c>
      <c r="T17" s="30">
        <v>11</v>
      </c>
      <c r="U17" s="30">
        <f t="shared" si="4"/>
        <v>0</v>
      </c>
      <c r="V17" s="30">
        <f t="shared" si="13"/>
        <v>0</v>
      </c>
      <c r="W17" s="30">
        <f t="shared" si="5"/>
        <v>0</v>
      </c>
      <c r="X17" s="30">
        <f>V17+V16+V15+V14+V13+V12+V11+V10+V9+V8+V7+V6</f>
        <v>5.8630662020905939</v>
      </c>
      <c r="Y17" s="30">
        <f t="shared" si="14"/>
        <v>0.98693379790940572</v>
      </c>
      <c r="Z17" s="30">
        <f t="shared" si="6"/>
        <v>8.1210000000000022</v>
      </c>
      <c r="AA17" s="31">
        <f t="shared" si="7"/>
        <v>0.12152860459418859</v>
      </c>
      <c r="AC17" s="18"/>
      <c r="AD17" s="18"/>
      <c r="AE17" s="24"/>
      <c r="AF17" s="25"/>
      <c r="AG17" s="19">
        <v>9</v>
      </c>
      <c r="AH17" s="19">
        <f t="shared" si="8"/>
        <v>1</v>
      </c>
      <c r="AI17" s="19">
        <f t="shared" si="0"/>
        <v>75</v>
      </c>
      <c r="AJ17" s="21">
        <v>0.28699999999999998</v>
      </c>
      <c r="AK17" s="19">
        <f t="shared" si="9"/>
        <v>4.8494748749999997E-2</v>
      </c>
      <c r="AL17" s="19">
        <f t="shared" si="10"/>
        <v>7.1340662020905929</v>
      </c>
      <c r="AM17" s="19">
        <f t="shared" si="11"/>
        <v>167.46143055334426</v>
      </c>
      <c r="AN17" s="19">
        <f t="shared" si="1"/>
        <v>147.11007657484964</v>
      </c>
      <c r="AO17" s="19">
        <f t="shared" si="12"/>
        <v>0.1383409923530273</v>
      </c>
      <c r="AP17" s="19">
        <f t="shared" si="2"/>
        <v>167.46143055334426</v>
      </c>
      <c r="AQ17" s="35"/>
      <c r="AS17" s="48"/>
      <c r="AT17" s="48"/>
      <c r="AU17" s="48"/>
      <c r="AV17" s="48"/>
      <c r="AW17" s="10"/>
    </row>
    <row r="18" spans="2:49" x14ac:dyDescent="0.25">
      <c r="B18" s="12" t="s">
        <v>220</v>
      </c>
      <c r="C18" s="13">
        <v>27</v>
      </c>
      <c r="D18" s="14">
        <v>15</v>
      </c>
      <c r="E18" s="14">
        <v>15</v>
      </c>
      <c r="F18" s="14">
        <v>15</v>
      </c>
      <c r="G18" s="14">
        <v>20</v>
      </c>
      <c r="H18" s="14">
        <v>4.5999999999999996</v>
      </c>
      <c r="I18" s="14">
        <v>1</v>
      </c>
      <c r="J18" s="14">
        <v>0</v>
      </c>
      <c r="K18" s="14">
        <v>1.3</v>
      </c>
      <c r="L18" s="14">
        <v>0</v>
      </c>
      <c r="M18" s="14">
        <v>0</v>
      </c>
      <c r="N18" s="14">
        <v>33</v>
      </c>
      <c r="O18" s="14">
        <v>100</v>
      </c>
      <c r="P18" s="51">
        <v>0.30763888888888891</v>
      </c>
      <c r="Q18" s="10"/>
      <c r="R18" s="41"/>
      <c r="S18" s="30">
        <f t="shared" si="3"/>
        <v>8.0210000000000008</v>
      </c>
      <c r="T18" s="30">
        <v>12</v>
      </c>
      <c r="U18" s="30">
        <f t="shared" si="4"/>
        <v>0.10000000000000142</v>
      </c>
      <c r="V18" s="30">
        <f t="shared" si="13"/>
        <v>8.257839721254473E-2</v>
      </c>
      <c r="W18" s="30">
        <f t="shared" si="5"/>
        <v>1.7421602787456691E-2</v>
      </c>
      <c r="X18" s="30">
        <f>V18+V17+V16+V15+V14+V13+V12+V11+V10+V9+V8+V7+V6</f>
        <v>5.9456445993031384</v>
      </c>
      <c r="Y18" s="30">
        <f t="shared" si="14"/>
        <v>0.90435540069686127</v>
      </c>
      <c r="Z18" s="30">
        <f t="shared" si="6"/>
        <v>8.0384216027874569</v>
      </c>
      <c r="AA18" s="31">
        <f t="shared" si="7"/>
        <v>0.11250410159915734</v>
      </c>
      <c r="AC18" s="18"/>
      <c r="AD18" s="18"/>
      <c r="AE18" s="24"/>
      <c r="AF18" s="25"/>
      <c r="AG18" s="19">
        <v>10</v>
      </c>
      <c r="AH18" s="19">
        <f t="shared" si="8"/>
        <v>1</v>
      </c>
      <c r="AI18" s="19">
        <f t="shared" si="0"/>
        <v>75</v>
      </c>
      <c r="AJ18" s="21">
        <v>0.28699999999999998</v>
      </c>
      <c r="AK18" s="19">
        <f t="shared" si="9"/>
        <v>4.8494748749999997E-2</v>
      </c>
      <c r="AL18" s="19">
        <f t="shared" si="10"/>
        <v>7.116644599303136</v>
      </c>
      <c r="AM18" s="19">
        <f t="shared" si="11"/>
        <v>165.39935161536437</v>
      </c>
      <c r="AN18" s="19">
        <f t="shared" si="1"/>
        <v>146.75082937311097</v>
      </c>
      <c r="AO18" s="19">
        <f t="shared" si="12"/>
        <v>0.1267657707510263</v>
      </c>
      <c r="AP18" s="19">
        <f t="shared" si="2"/>
        <v>165.39935161536437</v>
      </c>
      <c r="AQ18" s="35"/>
      <c r="AS18" s="48"/>
      <c r="AT18" s="48"/>
      <c r="AU18" s="48"/>
      <c r="AV18" s="48"/>
      <c r="AW18" s="10"/>
    </row>
    <row r="19" spans="2:49" x14ac:dyDescent="0.25">
      <c r="B19" s="12" t="s">
        <v>221</v>
      </c>
      <c r="C19" s="13">
        <v>23.1</v>
      </c>
      <c r="D19" s="14">
        <v>16</v>
      </c>
      <c r="E19" s="14">
        <v>16</v>
      </c>
      <c r="F19" s="14">
        <v>16</v>
      </c>
      <c r="G19" s="14">
        <v>20</v>
      </c>
      <c r="H19" s="14">
        <v>3.7</v>
      </c>
      <c r="I19" s="14">
        <v>0</v>
      </c>
      <c r="J19" s="14">
        <v>0</v>
      </c>
      <c r="K19" s="14">
        <v>1.3</v>
      </c>
      <c r="L19" s="14">
        <v>0</v>
      </c>
      <c r="M19" s="14">
        <v>0</v>
      </c>
      <c r="N19" s="14">
        <v>32.799999999999997</v>
      </c>
      <c r="O19" s="14">
        <v>200</v>
      </c>
      <c r="P19" s="51">
        <v>0.35138888888888892</v>
      </c>
      <c r="Q19" s="10"/>
      <c r="R19" s="41"/>
      <c r="S19" s="30">
        <f t="shared" si="3"/>
        <v>7.820999999999998</v>
      </c>
      <c r="T19" s="30">
        <v>13</v>
      </c>
      <c r="U19" s="30">
        <f t="shared" si="4"/>
        <v>0.20000000000000284</v>
      </c>
      <c r="V19" s="30">
        <f t="shared" si="13"/>
        <v>0.16515679442508946</v>
      </c>
      <c r="W19" s="30">
        <f t="shared" si="5"/>
        <v>3.4843205574913383E-2</v>
      </c>
      <c r="X19" s="30">
        <f>V19+V18+V17+V16+V15+V14+V13+V12+V11+V10+V9+V8+V7+V6</f>
        <v>6.1108013937282282</v>
      </c>
      <c r="Y19" s="30">
        <f t="shared" si="14"/>
        <v>0.73919860627177147</v>
      </c>
      <c r="Z19" s="30">
        <f t="shared" si="6"/>
        <v>7.855843205574911</v>
      </c>
      <c r="AA19" s="31">
        <f t="shared" si="7"/>
        <v>9.409538695314057E-2</v>
      </c>
      <c r="AC19" s="18"/>
      <c r="AD19" s="18"/>
      <c r="AG19" s="19">
        <v>11</v>
      </c>
      <c r="AH19" s="19">
        <f t="shared" si="8"/>
        <v>1</v>
      </c>
      <c r="AI19" s="19">
        <f t="shared" si="0"/>
        <v>75</v>
      </c>
      <c r="AJ19" s="21">
        <v>0.28699999999999998</v>
      </c>
      <c r="AK19" s="19">
        <f t="shared" si="9"/>
        <v>4.8494748749999997E-2</v>
      </c>
      <c r="AL19" s="19">
        <f t="shared" si="10"/>
        <v>7.0818013937282229</v>
      </c>
      <c r="AM19" s="19">
        <f t="shared" si="11"/>
        <v>161.27519373940459</v>
      </c>
      <c r="AN19" s="19">
        <f t="shared" si="1"/>
        <v>146.03233496963367</v>
      </c>
      <c r="AO19" s="19">
        <f t="shared" si="12"/>
        <v>0.1038689786959649</v>
      </c>
      <c r="AP19" s="19">
        <f t="shared" si="2"/>
        <v>161.27519373940459</v>
      </c>
      <c r="AQ19" s="35"/>
      <c r="AS19" s="48"/>
      <c r="AT19" s="48"/>
      <c r="AU19" s="48"/>
      <c r="AV19" s="48"/>
      <c r="AW19" s="10"/>
    </row>
    <row r="20" spans="2:49" x14ac:dyDescent="0.25">
      <c r="B20" s="12" t="s">
        <v>222</v>
      </c>
      <c r="C20" s="13">
        <v>21.5</v>
      </c>
      <c r="D20" s="52">
        <v>17</v>
      </c>
      <c r="E20" s="52">
        <v>17</v>
      </c>
      <c r="F20" s="52">
        <v>17</v>
      </c>
      <c r="G20" s="14">
        <v>20</v>
      </c>
      <c r="H20" s="14">
        <v>3.4</v>
      </c>
      <c r="I20" s="14">
        <v>0</v>
      </c>
      <c r="J20" s="14">
        <v>0</v>
      </c>
      <c r="K20" s="14">
        <v>1.3</v>
      </c>
      <c r="L20" s="14">
        <v>0</v>
      </c>
      <c r="M20" s="14">
        <v>0</v>
      </c>
      <c r="N20" s="52">
        <v>32.6</v>
      </c>
      <c r="O20" s="14">
        <v>200</v>
      </c>
      <c r="P20" s="51">
        <v>0.3666666666666667</v>
      </c>
      <c r="Q20" s="39"/>
      <c r="R20" s="41"/>
      <c r="S20" s="30">
        <f t="shared" si="3"/>
        <v>7.6210000000000022</v>
      </c>
      <c r="T20" s="30">
        <v>14</v>
      </c>
      <c r="U20" s="30">
        <f t="shared" si="4"/>
        <v>0.19999999999999574</v>
      </c>
      <c r="V20" s="30">
        <f t="shared" si="13"/>
        <v>0.16515679442508358</v>
      </c>
      <c r="W20" s="30">
        <f t="shared" si="5"/>
        <v>3.4843205574912162E-2</v>
      </c>
      <c r="X20" s="30">
        <f>V20+V19+V18+V17+V16+V15+V14+V13+V12+V11+V10+V9+V8+V7</f>
        <v>6.2759581881533117</v>
      </c>
      <c r="Y20" s="30">
        <f t="shared" si="14"/>
        <v>0.5740418118466879</v>
      </c>
      <c r="Z20" s="30">
        <f t="shared" si="6"/>
        <v>7.6558432055749144</v>
      </c>
      <c r="AA20" s="31">
        <f t="shared" si="7"/>
        <v>7.4980873619339014E-2</v>
      </c>
      <c r="AE20" s="26" t="s">
        <v>310</v>
      </c>
      <c r="AF20" s="27">
        <v>1640</v>
      </c>
      <c r="AG20" s="19">
        <v>12</v>
      </c>
      <c r="AH20" s="19">
        <f t="shared" si="8"/>
        <v>1</v>
      </c>
      <c r="AI20" s="19">
        <f t="shared" si="0"/>
        <v>75</v>
      </c>
      <c r="AJ20" s="21">
        <v>1.2869999999999999</v>
      </c>
      <c r="AK20" s="19">
        <f t="shared" si="9"/>
        <v>4.8494748749999997E-2</v>
      </c>
      <c r="AL20" s="19">
        <f t="shared" si="10"/>
        <v>7.0469581881533108</v>
      </c>
      <c r="AM20" s="19">
        <f t="shared" si="11"/>
        <v>157.15103586344497</v>
      </c>
      <c r="AN20" s="19">
        <f t="shared" si="1"/>
        <v>145.31384056615639</v>
      </c>
      <c r="AO20" s="19">
        <f t="shared" si="12"/>
        <v>8.1058727847842488E-2</v>
      </c>
      <c r="AP20" s="19">
        <f t="shared" si="2"/>
        <v>157.15103586344497</v>
      </c>
      <c r="AQ20" s="35"/>
      <c r="AS20" s="53"/>
      <c r="AT20" s="53"/>
      <c r="AU20" s="53"/>
      <c r="AV20" s="10"/>
      <c r="AW20" s="10"/>
    </row>
    <row r="21" spans="2:49" x14ac:dyDescent="0.25">
      <c r="B21" s="47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50"/>
      <c r="Q21" s="10"/>
      <c r="R21" s="42"/>
      <c r="S21" s="30"/>
      <c r="T21" s="30"/>
      <c r="U21" s="30"/>
      <c r="V21" s="30"/>
      <c r="W21" s="30"/>
      <c r="X21" s="30"/>
      <c r="Y21" s="30"/>
      <c r="Z21" s="30"/>
      <c r="AA21" s="31"/>
      <c r="AG21" s="19"/>
      <c r="AH21" s="19"/>
      <c r="AI21" s="19"/>
      <c r="AJ21" s="21"/>
      <c r="AK21" s="19"/>
      <c r="AL21" s="19"/>
      <c r="AM21" s="19"/>
      <c r="AN21" s="19"/>
      <c r="AO21" s="19"/>
      <c r="AP21" s="19"/>
      <c r="AQ21" s="35"/>
      <c r="AS21" s="48"/>
      <c r="AT21" s="48"/>
      <c r="AU21" s="48"/>
      <c r="AV21" s="10"/>
    </row>
    <row r="22" spans="2:49" x14ac:dyDescent="0.25">
      <c r="B22" s="63" t="s">
        <v>303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10"/>
      <c r="R22" s="42"/>
      <c r="S22" s="11" t="s">
        <v>305</v>
      </c>
      <c r="T22" s="11"/>
      <c r="U22" s="11"/>
      <c r="V22" s="11"/>
      <c r="W22" s="11"/>
      <c r="X22" s="11"/>
      <c r="Y22" s="11"/>
      <c r="Z22" s="11"/>
      <c r="AA22" s="11"/>
      <c r="AG22" s="63" t="s">
        <v>305</v>
      </c>
      <c r="AH22" s="63"/>
      <c r="AI22" s="63"/>
      <c r="AJ22" s="63"/>
      <c r="AK22" s="63"/>
      <c r="AL22" s="63"/>
      <c r="AM22" s="63"/>
      <c r="AN22" s="63"/>
      <c r="AO22" s="63"/>
      <c r="AP22" s="63"/>
      <c r="AQ22" s="35"/>
      <c r="AT22" s="10"/>
      <c r="AU22" s="10"/>
      <c r="AV22" s="10"/>
    </row>
    <row r="23" spans="2:49" x14ac:dyDescent="0.25">
      <c r="Q23" s="10"/>
      <c r="R23" s="42"/>
      <c r="AQ23" s="35"/>
      <c r="AT23" s="10"/>
      <c r="AU23" s="10"/>
      <c r="AV23" s="10"/>
    </row>
    <row r="24" spans="2:49" x14ac:dyDescent="0.25">
      <c r="B24" s="39"/>
      <c r="C24" s="3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42"/>
      <c r="Q24" s="10"/>
      <c r="R24" s="42"/>
      <c r="S24" t="s">
        <v>313</v>
      </c>
      <c r="X24" s="8">
        <v>6.85</v>
      </c>
      <c r="Y24" s="30"/>
      <c r="Z24" s="30"/>
      <c r="AA24" s="31"/>
      <c r="AG24" s="19"/>
      <c r="AH24" s="19"/>
      <c r="AI24" s="19"/>
      <c r="AJ24" s="21"/>
      <c r="AK24" s="19"/>
      <c r="AL24" s="19"/>
      <c r="AM24" s="19"/>
      <c r="AN24" s="19"/>
      <c r="AO24" s="19"/>
      <c r="AP24" s="19"/>
      <c r="AQ24" s="35"/>
      <c r="AT24" s="10"/>
      <c r="AU24" s="10"/>
      <c r="AV24" s="10"/>
    </row>
    <row r="25" spans="2:49" x14ac:dyDescent="0.25">
      <c r="B25" s="39"/>
      <c r="C25" s="3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42"/>
      <c r="Q25" s="10"/>
      <c r="R25" s="42"/>
      <c r="S25" t="s">
        <v>312</v>
      </c>
      <c r="X25" s="8">
        <v>0.377</v>
      </c>
      <c r="Y25" s="30"/>
      <c r="Z25" s="30"/>
      <c r="AA25" s="31"/>
      <c r="AG25" s="19"/>
      <c r="AH25" s="19"/>
      <c r="AI25" s="19"/>
      <c r="AJ25" s="21"/>
      <c r="AK25" s="19"/>
      <c r="AL25" s="19"/>
      <c r="AM25" s="19"/>
      <c r="AN25" s="19"/>
      <c r="AO25" s="19"/>
      <c r="AP25" s="19"/>
      <c r="AQ25" s="35"/>
      <c r="AT25" s="10"/>
      <c r="AU25" s="10"/>
      <c r="AV25" s="10"/>
    </row>
    <row r="26" spans="2:49" x14ac:dyDescent="0.25">
      <c r="B26" s="39"/>
      <c r="C26" s="3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2"/>
      <c r="Q26" s="10"/>
      <c r="R26" s="42"/>
      <c r="S26" t="s">
        <v>311</v>
      </c>
      <c r="X26" s="8">
        <f>S6-S20</f>
        <v>7.6000000000000014</v>
      </c>
      <c r="Y26" s="30"/>
      <c r="Z26" s="30"/>
      <c r="AA26" s="31"/>
      <c r="AG26" s="19"/>
      <c r="AH26" s="19"/>
      <c r="AI26" s="19"/>
      <c r="AJ26" s="21"/>
      <c r="AK26" s="19"/>
      <c r="AL26" s="19"/>
      <c r="AM26" s="19"/>
      <c r="AN26" s="19"/>
      <c r="AO26" s="19"/>
      <c r="AP26" s="19"/>
      <c r="AQ26" s="35"/>
      <c r="AT26" s="10"/>
      <c r="AU26" s="10"/>
      <c r="AV26" s="10"/>
    </row>
    <row r="27" spans="2:49" x14ac:dyDescent="0.25">
      <c r="B27" s="39"/>
      <c r="C27" s="3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42"/>
      <c r="S27" t="s">
        <v>314</v>
      </c>
      <c r="X27" s="8">
        <f>X24-X25</f>
        <v>6.4729999999999999</v>
      </c>
      <c r="Y27" s="30"/>
      <c r="Z27" s="30"/>
      <c r="AA27" s="31"/>
      <c r="AG27" s="19"/>
      <c r="AH27" s="19"/>
      <c r="AI27" s="19"/>
      <c r="AJ27" s="21"/>
      <c r="AK27" s="19"/>
      <c r="AL27" s="19"/>
      <c r="AM27" s="19"/>
      <c r="AN27" s="19"/>
      <c r="AO27" s="19"/>
      <c r="AP27" s="19"/>
      <c r="AQ27" s="35"/>
      <c r="AT27" s="10"/>
      <c r="AU27" s="10"/>
      <c r="AV27" s="10"/>
    </row>
    <row r="28" spans="2:49" x14ac:dyDescent="0.25">
      <c r="S28" t="s">
        <v>315</v>
      </c>
      <c r="X28" s="8">
        <f>X26-X27</f>
        <v>1.1270000000000016</v>
      </c>
      <c r="AQ28" s="35"/>
    </row>
    <row r="29" spans="2:49" x14ac:dyDescent="0.25">
      <c r="AQ29" s="35"/>
    </row>
    <row r="30" spans="2:49" x14ac:dyDescent="0.25">
      <c r="S30" t="s">
        <v>316</v>
      </c>
      <c r="X30" s="29">
        <f>X27/X28</f>
        <v>5.7435669920141885</v>
      </c>
      <c r="AQ30" s="35"/>
    </row>
    <row r="31" spans="2:49" x14ac:dyDescent="0.25">
      <c r="AQ31" s="35"/>
    </row>
    <row r="32" spans="2:49" x14ac:dyDescent="0.25">
      <c r="AQ32" s="35"/>
    </row>
    <row r="33" spans="1:43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4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8"/>
    </row>
    <row r="35" spans="1:43" x14ac:dyDescent="0.25">
      <c r="Y35" s="18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10" spans="46:46" x14ac:dyDescent="0.25">
      <c r="AT410" s="7"/>
    </row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54" spans="46:46" x14ac:dyDescent="0.25">
      <c r="AT554" s="7"/>
    </row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84" spans="46:46" x14ac:dyDescent="0.25">
      <c r="AT684" s="7"/>
    </row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</sheetData>
  <mergeCells count="2">
    <mergeCell ref="B22:P22"/>
    <mergeCell ref="AG22:AP2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416D-AC68-4CC2-BB56-C01FA3365CD2}">
  <dimension ref="A1:AW1314"/>
  <sheetViews>
    <sheetView zoomScale="85" zoomScaleNormal="85" workbookViewId="0">
      <selection activeCell="K22" sqref="K22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4.710937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</cols>
  <sheetData>
    <row r="1" spans="2:49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9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9" x14ac:dyDescent="0.25">
      <c r="L3" s="9"/>
      <c r="M3" s="10"/>
      <c r="AQ3" s="35"/>
    </row>
    <row r="4" spans="2:49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374</v>
      </c>
      <c r="W4" s="17" t="s">
        <v>375</v>
      </c>
      <c r="X4" s="17" t="s">
        <v>376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9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9" x14ac:dyDescent="0.25">
      <c r="B6" s="3" t="s">
        <v>223</v>
      </c>
      <c r="C6" s="5">
        <v>17.8</v>
      </c>
      <c r="D6" s="2">
        <v>5</v>
      </c>
      <c r="E6" s="2">
        <v>5</v>
      </c>
      <c r="F6" s="2">
        <v>5</v>
      </c>
      <c r="G6" s="2">
        <v>20</v>
      </c>
      <c r="H6" s="2">
        <v>0.1</v>
      </c>
      <c r="I6" s="2">
        <v>0</v>
      </c>
      <c r="J6" s="2">
        <v>0</v>
      </c>
      <c r="K6" s="2">
        <v>20.9</v>
      </c>
      <c r="L6" s="2">
        <v>0</v>
      </c>
      <c r="M6" s="2">
        <v>0</v>
      </c>
      <c r="N6" s="2">
        <v>37.799999999999997</v>
      </c>
      <c r="O6" s="2">
        <v>0</v>
      </c>
      <c r="P6" s="4">
        <v>0.58333333333333337</v>
      </c>
      <c r="Q6" s="10"/>
      <c r="R6" s="41"/>
      <c r="S6" s="30">
        <f>N6-25.114</f>
        <v>12.685999999999996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5.71</v>
      </c>
      <c r="Z6" s="30">
        <f>S6-V6</f>
        <v>12.685999999999996</v>
      </c>
      <c r="AA6" s="31">
        <f>Y6/Z6</f>
        <v>0.45010247516947827</v>
      </c>
      <c r="AC6" s="18"/>
      <c r="AD6" s="18">
        <v>1000</v>
      </c>
      <c r="AE6" s="22" t="s">
        <v>309</v>
      </c>
      <c r="AF6" s="23">
        <v>1480</v>
      </c>
      <c r="AG6" s="19">
        <v>0</v>
      </c>
      <c r="AH6" s="19">
        <v>0</v>
      </c>
      <c r="AI6" s="19">
        <f t="shared" ref="AI6:AI13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6.976</v>
      </c>
      <c r="AM6" s="19">
        <f>S6/AK6</f>
        <v>258.15329020275453</v>
      </c>
      <c r="AN6" s="19">
        <f t="shared" ref="AN6:AN13" si="1">AL6/AK6</f>
        <v>141.95785530935018</v>
      </c>
      <c r="AO6" s="19">
        <f>(AA6/(1-AA6))</f>
        <v>0.81852064220183507</v>
      </c>
      <c r="AP6" s="19">
        <f t="shared" ref="AP6:AP13" si="2">AM6/(1+AQ6)</f>
        <v>258.15329020275453</v>
      </c>
      <c r="AQ6" s="35"/>
      <c r="AS6" s="10"/>
      <c r="AT6" s="10"/>
      <c r="AU6" s="10"/>
      <c r="AV6" s="48"/>
      <c r="AW6" s="10"/>
    </row>
    <row r="7" spans="2:49" x14ac:dyDescent="0.25">
      <c r="B7" s="3" t="s">
        <v>224</v>
      </c>
      <c r="C7" s="5">
        <v>43</v>
      </c>
      <c r="D7" s="2">
        <v>6</v>
      </c>
      <c r="E7" s="2">
        <v>6</v>
      </c>
      <c r="F7" s="2">
        <v>6</v>
      </c>
      <c r="G7" s="2">
        <v>20</v>
      </c>
      <c r="H7" s="2">
        <v>67.400000000000006</v>
      </c>
      <c r="I7" s="2">
        <v>0</v>
      </c>
      <c r="J7" s="2">
        <v>1</v>
      </c>
      <c r="K7" s="2">
        <v>0.9</v>
      </c>
      <c r="L7" s="2">
        <v>0</v>
      </c>
      <c r="M7" s="2">
        <v>0</v>
      </c>
      <c r="N7" s="2">
        <v>36.9</v>
      </c>
      <c r="O7" s="2">
        <v>900</v>
      </c>
      <c r="P7" s="4">
        <v>0.32013888888888892</v>
      </c>
      <c r="Q7" s="10"/>
      <c r="R7" s="41"/>
      <c r="S7" s="30">
        <f t="shared" ref="S7:S13" si="3">N7-25.114</f>
        <v>11.785999999999998</v>
      </c>
      <c r="T7" s="30">
        <v>1</v>
      </c>
      <c r="U7" s="30">
        <f t="shared" ref="U7:U13" si="4">S6-S7</f>
        <v>0.89999999999999858</v>
      </c>
      <c r="V7" s="30">
        <f>U7-(U7/9.04)</f>
        <v>0.8004424778761049</v>
      </c>
      <c r="W7" s="30">
        <f t="shared" ref="W7:W13" si="5">U7-V7</f>
        <v>9.9557522123893682E-2</v>
      </c>
      <c r="X7" s="30">
        <f>V7+V6</f>
        <v>0.8004424778761049</v>
      </c>
      <c r="Y7" s="30">
        <f>5.71-X7</f>
        <v>4.9095575221238947</v>
      </c>
      <c r="Z7" s="30">
        <f t="shared" ref="Z7:Z13" si="6">S6-V7</f>
        <v>11.885557522123891</v>
      </c>
      <c r="AA7" s="31">
        <f t="shared" ref="AA7:AA13" si="7">Y7/Z7</f>
        <v>0.41306918190292691</v>
      </c>
      <c r="AC7" s="18"/>
      <c r="AD7" s="18"/>
      <c r="AE7" s="24"/>
      <c r="AF7" s="25"/>
      <c r="AG7" s="19">
        <v>1</v>
      </c>
      <c r="AH7" s="19">
        <f t="shared" ref="AH7:AH13" si="8">AG7-AG6</f>
        <v>1</v>
      </c>
      <c r="AI7" s="19">
        <f t="shared" si="0"/>
        <v>75</v>
      </c>
      <c r="AJ7" s="21">
        <v>0.28699999999999998</v>
      </c>
      <c r="AK7" s="19">
        <f t="shared" ref="AK7:AK13" si="9">((($AJ$6*$AJ$6)*3.14)/4)*(AI7/100)</f>
        <v>4.8494748749999997E-2</v>
      </c>
      <c r="AL7" s="19">
        <f t="shared" ref="AL7:AL13" si="10">AL6-W7</f>
        <v>6.8764424778761066</v>
      </c>
      <c r="AM7" s="19">
        <f t="shared" ref="AM7:AM13" si="11">S7/AK7</f>
        <v>243.03662363030591</v>
      </c>
      <c r="AN7" s="19">
        <f t="shared" si="1"/>
        <v>141.7976720185834</v>
      </c>
      <c r="AO7" s="19">
        <f t="shared" ref="AO7:AO13" si="12">(AA7/(1-AA7))</f>
        <v>0.70377831452464124</v>
      </c>
      <c r="AP7" s="19">
        <f t="shared" si="2"/>
        <v>243.03662363030591</v>
      </c>
      <c r="AQ7" s="35"/>
      <c r="AS7" s="10"/>
      <c r="AT7" s="10"/>
      <c r="AU7" s="10"/>
      <c r="AV7" s="48"/>
      <c r="AW7" s="10"/>
    </row>
    <row r="8" spans="2:49" x14ac:dyDescent="0.25">
      <c r="B8" s="3" t="s">
        <v>225</v>
      </c>
      <c r="C8" s="5">
        <v>25.5</v>
      </c>
      <c r="D8" s="2">
        <v>7</v>
      </c>
      <c r="E8" s="2">
        <v>7</v>
      </c>
      <c r="F8" s="2">
        <v>7</v>
      </c>
      <c r="G8" s="2">
        <v>20</v>
      </c>
      <c r="H8" s="2">
        <v>62.5</v>
      </c>
      <c r="I8" s="2">
        <v>1</v>
      </c>
      <c r="J8" s="2">
        <v>1</v>
      </c>
      <c r="K8" s="2">
        <v>0.9</v>
      </c>
      <c r="L8" s="2">
        <v>0</v>
      </c>
      <c r="M8" s="2">
        <v>0</v>
      </c>
      <c r="N8" s="2">
        <v>34.9</v>
      </c>
      <c r="O8" s="2">
        <v>2000</v>
      </c>
      <c r="P8" s="4">
        <v>0.32777777777777778</v>
      </c>
      <c r="Q8" s="10"/>
      <c r="R8" s="41"/>
      <c r="S8" s="30">
        <f t="shared" si="3"/>
        <v>9.7859999999999978</v>
      </c>
      <c r="T8" s="30">
        <v>2</v>
      </c>
      <c r="U8" s="30">
        <f t="shared" si="4"/>
        <v>2</v>
      </c>
      <c r="V8" s="30">
        <f t="shared" ref="V8:V13" si="13">U8-(U8/9.04)</f>
        <v>1.7787610619469025</v>
      </c>
      <c r="W8" s="30">
        <f t="shared" si="5"/>
        <v>0.22123893805309747</v>
      </c>
      <c r="X8" s="30">
        <f>V7+V8+V6</f>
        <v>2.5792035398230073</v>
      </c>
      <c r="Y8" s="30">
        <f t="shared" ref="Y8:Y13" si="14">5.71-X8</f>
        <v>3.1307964601769926</v>
      </c>
      <c r="Z8" s="30">
        <f t="shared" si="6"/>
        <v>10.007238938053096</v>
      </c>
      <c r="AA8" s="31">
        <f t="shared" si="7"/>
        <v>0.31285317354339975</v>
      </c>
      <c r="AC8" s="18"/>
      <c r="AD8" s="18"/>
      <c r="AE8" s="24"/>
      <c r="AF8" s="25"/>
      <c r="AG8" s="19">
        <v>2</v>
      </c>
      <c r="AH8" s="19">
        <f t="shared" si="8"/>
        <v>1</v>
      </c>
      <c r="AI8" s="19">
        <f t="shared" si="0"/>
        <v>75</v>
      </c>
      <c r="AJ8" s="21">
        <v>0.28699999999999998</v>
      </c>
      <c r="AK8" s="19">
        <f t="shared" si="9"/>
        <v>4.8494748749999997E-2</v>
      </c>
      <c r="AL8" s="19">
        <f t="shared" si="10"/>
        <v>6.6552035398230096</v>
      </c>
      <c r="AM8" s="19">
        <f t="shared" si="11"/>
        <v>201.79504487070878</v>
      </c>
      <c r="AN8" s="19">
        <f t="shared" si="1"/>
        <v>137.23555047438018</v>
      </c>
      <c r="AO8" s="19">
        <f t="shared" si="12"/>
        <v>0.45529304873120785</v>
      </c>
      <c r="AP8" s="19">
        <f t="shared" si="2"/>
        <v>201.79504487070878</v>
      </c>
      <c r="AQ8" s="35"/>
      <c r="AS8" s="10"/>
      <c r="AT8" s="10"/>
      <c r="AU8" s="10"/>
      <c r="AV8" s="48"/>
      <c r="AW8" s="10"/>
    </row>
    <row r="9" spans="2:49" x14ac:dyDescent="0.25">
      <c r="B9" s="3" t="s">
        <v>226</v>
      </c>
      <c r="C9" s="5">
        <v>21.1</v>
      </c>
      <c r="D9" s="2">
        <v>8</v>
      </c>
      <c r="E9" s="2">
        <v>8</v>
      </c>
      <c r="F9" s="2">
        <v>8</v>
      </c>
      <c r="G9" s="2">
        <v>20</v>
      </c>
      <c r="H9" s="2">
        <v>12.1</v>
      </c>
      <c r="I9" s="2">
        <v>1</v>
      </c>
      <c r="J9" s="2">
        <v>1</v>
      </c>
      <c r="K9" s="2">
        <v>0.9</v>
      </c>
      <c r="L9" s="2">
        <v>0</v>
      </c>
      <c r="M9" s="2">
        <v>0</v>
      </c>
      <c r="N9" s="2">
        <v>34</v>
      </c>
      <c r="O9" s="2">
        <v>900</v>
      </c>
      <c r="P9" s="4">
        <v>0.34930555555555554</v>
      </c>
      <c r="Q9" s="10"/>
      <c r="R9" s="41"/>
      <c r="S9" s="30">
        <f t="shared" si="3"/>
        <v>8.8859999999999992</v>
      </c>
      <c r="T9" s="30">
        <v>3</v>
      </c>
      <c r="U9" s="30">
        <f t="shared" si="4"/>
        <v>0.89999999999999858</v>
      </c>
      <c r="V9" s="30">
        <f t="shared" si="13"/>
        <v>0.8004424778761049</v>
      </c>
      <c r="W9" s="30">
        <f t="shared" si="5"/>
        <v>9.9557522123893682E-2</v>
      </c>
      <c r="X9" s="30">
        <f>V9+V8+V7+V6</f>
        <v>3.3796460176991121</v>
      </c>
      <c r="Y9" s="30">
        <f t="shared" si="14"/>
        <v>2.3303539823008879</v>
      </c>
      <c r="Z9" s="30">
        <f t="shared" si="6"/>
        <v>8.9855575221238926</v>
      </c>
      <c r="AA9" s="31">
        <f t="shared" si="7"/>
        <v>0.25934439533253006</v>
      </c>
      <c r="AC9" s="18"/>
      <c r="AD9" s="18"/>
      <c r="AE9" s="24"/>
      <c r="AF9" s="25"/>
      <c r="AG9" s="19">
        <v>3</v>
      </c>
      <c r="AH9" s="19">
        <f t="shared" si="8"/>
        <v>1</v>
      </c>
      <c r="AI9" s="19">
        <f t="shared" si="0"/>
        <v>75</v>
      </c>
      <c r="AJ9" s="21">
        <v>0.28699999999999998</v>
      </c>
      <c r="AK9" s="19">
        <f t="shared" si="9"/>
        <v>4.8494748749999997E-2</v>
      </c>
      <c r="AL9" s="19">
        <f t="shared" si="10"/>
        <v>6.5556460176991163</v>
      </c>
      <c r="AM9" s="19">
        <f t="shared" si="11"/>
        <v>183.2363344288901</v>
      </c>
      <c r="AN9" s="19">
        <f t="shared" si="1"/>
        <v>135.18259577948874</v>
      </c>
      <c r="AO9" s="19">
        <f t="shared" si="12"/>
        <v>0.35015517832875537</v>
      </c>
      <c r="AP9" s="19">
        <f t="shared" si="2"/>
        <v>183.2363344288901</v>
      </c>
      <c r="AQ9" s="35"/>
      <c r="AS9" s="10"/>
      <c r="AT9" s="10"/>
      <c r="AU9" s="10"/>
      <c r="AV9" s="48"/>
      <c r="AW9" s="10"/>
    </row>
    <row r="10" spans="2:49" x14ac:dyDescent="0.25">
      <c r="B10" s="3" t="s">
        <v>227</v>
      </c>
      <c r="C10" s="5">
        <v>23.1</v>
      </c>
      <c r="D10" s="2">
        <v>10</v>
      </c>
      <c r="E10" s="2">
        <v>10</v>
      </c>
      <c r="F10" s="2">
        <v>10</v>
      </c>
      <c r="G10" s="2">
        <v>20</v>
      </c>
      <c r="H10" s="2">
        <v>4.8</v>
      </c>
      <c r="I10" s="2">
        <v>0</v>
      </c>
      <c r="J10" s="2">
        <v>0</v>
      </c>
      <c r="K10" s="2">
        <v>0.9</v>
      </c>
      <c r="L10" s="2">
        <v>0</v>
      </c>
      <c r="M10" s="2">
        <v>0</v>
      </c>
      <c r="N10" s="2">
        <v>33.5</v>
      </c>
      <c r="O10" s="2">
        <v>500</v>
      </c>
      <c r="P10" s="4">
        <v>0.34027777777777773</v>
      </c>
      <c r="Q10" s="10"/>
      <c r="R10" s="41"/>
      <c r="S10" s="30">
        <f t="shared" si="3"/>
        <v>8.3859999999999992</v>
      </c>
      <c r="T10" s="30">
        <v>4</v>
      </c>
      <c r="U10" s="30">
        <f t="shared" si="4"/>
        <v>0.5</v>
      </c>
      <c r="V10" s="30">
        <f t="shared" si="13"/>
        <v>0.44469026548672563</v>
      </c>
      <c r="W10" s="30">
        <f t="shared" si="5"/>
        <v>5.5309734513274367E-2</v>
      </c>
      <c r="X10" s="30">
        <f>V10+V9+V8+V7+V6</f>
        <v>3.8243362831858376</v>
      </c>
      <c r="Y10" s="30">
        <f t="shared" si="14"/>
        <v>1.8856637168141623</v>
      </c>
      <c r="Z10" s="30">
        <f t="shared" si="6"/>
        <v>8.4413097345132737</v>
      </c>
      <c r="AA10" s="31">
        <f t="shared" si="7"/>
        <v>0.22338520633882294</v>
      </c>
      <c r="AC10" s="18"/>
      <c r="AD10" s="18"/>
      <c r="AE10" s="24"/>
      <c r="AF10" s="25"/>
      <c r="AG10" s="19">
        <v>5</v>
      </c>
      <c r="AH10" s="19">
        <f t="shared" si="8"/>
        <v>2</v>
      </c>
      <c r="AI10" s="19">
        <f t="shared" si="0"/>
        <v>74</v>
      </c>
      <c r="AJ10" s="21">
        <v>0.28699999999999998</v>
      </c>
      <c r="AK10" s="19">
        <f t="shared" si="9"/>
        <v>4.7848152099999992E-2</v>
      </c>
      <c r="AL10" s="19">
        <f t="shared" si="10"/>
        <v>6.5003362831858418</v>
      </c>
      <c r="AM10" s="19">
        <f t="shared" si="11"/>
        <v>175.26277676249069</v>
      </c>
      <c r="AN10" s="19">
        <f t="shared" si="1"/>
        <v>135.85344465551142</v>
      </c>
      <c r="AO10" s="19">
        <f t="shared" si="12"/>
        <v>0.28763964859042057</v>
      </c>
      <c r="AP10" s="19">
        <f t="shared" si="2"/>
        <v>175.26277676249069</v>
      </c>
      <c r="AQ10" s="35"/>
      <c r="AS10" s="10"/>
      <c r="AT10" s="10"/>
      <c r="AU10" s="10"/>
      <c r="AV10" s="48"/>
      <c r="AW10" s="10"/>
    </row>
    <row r="11" spans="2:49" x14ac:dyDescent="0.25">
      <c r="B11" s="3" t="s">
        <v>228</v>
      </c>
      <c r="C11" s="5">
        <v>21.3</v>
      </c>
      <c r="D11" s="2">
        <v>11</v>
      </c>
      <c r="E11" s="2">
        <v>11</v>
      </c>
      <c r="F11" s="2">
        <v>11</v>
      </c>
      <c r="G11" s="2">
        <v>20</v>
      </c>
      <c r="H11" s="2">
        <v>5</v>
      </c>
      <c r="I11" s="2">
        <v>0</v>
      </c>
      <c r="J11" s="2">
        <v>0</v>
      </c>
      <c r="K11" s="2">
        <v>0.9</v>
      </c>
      <c r="L11" s="2">
        <v>0</v>
      </c>
      <c r="M11" s="2">
        <v>0</v>
      </c>
      <c r="N11" s="2">
        <v>33</v>
      </c>
      <c r="O11" s="2">
        <v>500</v>
      </c>
      <c r="P11" s="4">
        <v>0.34166666666666662</v>
      </c>
      <c r="Q11" s="10"/>
      <c r="R11" s="41"/>
      <c r="S11" s="30">
        <f t="shared" si="3"/>
        <v>7.8859999999999992</v>
      </c>
      <c r="T11" s="30">
        <v>5</v>
      </c>
      <c r="U11" s="30">
        <f t="shared" si="4"/>
        <v>0.5</v>
      </c>
      <c r="V11" s="30">
        <f t="shared" si="13"/>
        <v>0.44469026548672563</v>
      </c>
      <c r="W11" s="30">
        <f t="shared" si="5"/>
        <v>5.5309734513274367E-2</v>
      </c>
      <c r="X11" s="30">
        <f>V11+V10+V9+V8+V7+V6</f>
        <v>4.2690265486725636</v>
      </c>
      <c r="Y11" s="30">
        <f t="shared" si="14"/>
        <v>1.4409734513274364</v>
      </c>
      <c r="Z11" s="30">
        <f t="shared" si="6"/>
        <v>7.9413097345132737</v>
      </c>
      <c r="AA11" s="31">
        <f t="shared" si="7"/>
        <v>0.18145287106293106</v>
      </c>
      <c r="AC11" s="18"/>
      <c r="AD11" s="18"/>
      <c r="AE11" s="24"/>
      <c r="AF11" s="25"/>
      <c r="AG11" s="19">
        <v>6</v>
      </c>
      <c r="AH11" s="19">
        <f t="shared" si="8"/>
        <v>1</v>
      </c>
      <c r="AI11" s="19">
        <f t="shared" si="0"/>
        <v>75</v>
      </c>
      <c r="AJ11" s="21">
        <v>0.28699999999999998</v>
      </c>
      <c r="AK11" s="19">
        <f t="shared" si="9"/>
        <v>4.8494748749999997E-2</v>
      </c>
      <c r="AL11" s="19">
        <f t="shared" si="10"/>
        <v>6.4450265486725673</v>
      </c>
      <c r="AM11" s="19">
        <f t="shared" si="11"/>
        <v>162.61554504909151</v>
      </c>
      <c r="AN11" s="19">
        <f t="shared" si="1"/>
        <v>132.90153500738711</v>
      </c>
      <c r="AO11" s="19">
        <f t="shared" si="12"/>
        <v>0.22167675464033229</v>
      </c>
      <c r="AP11" s="19">
        <f t="shared" si="2"/>
        <v>162.61554504909151</v>
      </c>
      <c r="AQ11" s="35"/>
      <c r="AS11" s="10"/>
      <c r="AT11" s="10"/>
      <c r="AU11" s="10"/>
      <c r="AV11" s="48"/>
      <c r="AW11" s="10"/>
    </row>
    <row r="12" spans="2:49" x14ac:dyDescent="0.25">
      <c r="B12" s="3" t="s">
        <v>229</v>
      </c>
      <c r="C12" s="5">
        <v>18.8</v>
      </c>
      <c r="D12" s="2">
        <v>11</v>
      </c>
      <c r="E12" s="2">
        <v>11</v>
      </c>
      <c r="F12" s="2">
        <v>11</v>
      </c>
      <c r="G12" s="2">
        <v>20</v>
      </c>
      <c r="H12" s="2">
        <v>4.3</v>
      </c>
      <c r="I12" s="2">
        <v>0</v>
      </c>
      <c r="J12" s="2">
        <v>0</v>
      </c>
      <c r="K12" s="2">
        <v>0.8</v>
      </c>
      <c r="L12" s="2">
        <v>0</v>
      </c>
      <c r="M12" s="2">
        <v>0</v>
      </c>
      <c r="N12" s="2">
        <v>32.9</v>
      </c>
      <c r="O12" s="2">
        <v>100</v>
      </c>
      <c r="P12" s="4">
        <v>0.33888888888888885</v>
      </c>
      <c r="Q12" s="10"/>
      <c r="R12" s="41"/>
      <c r="S12" s="30">
        <f t="shared" si="3"/>
        <v>7.7859999999999978</v>
      </c>
      <c r="T12" s="30">
        <v>6</v>
      </c>
      <c r="U12" s="30">
        <f t="shared" si="4"/>
        <v>0.10000000000000142</v>
      </c>
      <c r="V12" s="30">
        <f t="shared" si="13"/>
        <v>8.8938053097346398E-2</v>
      </c>
      <c r="W12" s="30">
        <f t="shared" si="5"/>
        <v>1.1061946902655023E-2</v>
      </c>
      <c r="X12" s="30">
        <f>V12+V11+V10+V9+V8+V7+V6</f>
        <v>4.3579646017699103</v>
      </c>
      <c r="Y12" s="30">
        <f t="shared" si="14"/>
        <v>1.3520353982300897</v>
      </c>
      <c r="Z12" s="30">
        <f t="shared" si="6"/>
        <v>7.7970619469026525</v>
      </c>
      <c r="AA12" s="31">
        <f t="shared" si="7"/>
        <v>0.17340318794917098</v>
      </c>
      <c r="AC12" s="18"/>
      <c r="AD12" s="18"/>
      <c r="AE12" s="24"/>
      <c r="AF12" s="25"/>
      <c r="AG12" s="19">
        <v>6</v>
      </c>
      <c r="AH12" s="19">
        <f t="shared" si="8"/>
        <v>0</v>
      </c>
      <c r="AI12" s="19">
        <f t="shared" si="0"/>
        <v>76</v>
      </c>
      <c r="AJ12" s="21">
        <v>0.28699999999999998</v>
      </c>
      <c r="AK12" s="19">
        <f t="shared" si="9"/>
        <v>4.9141345399999994E-2</v>
      </c>
      <c r="AL12" s="19">
        <f t="shared" si="10"/>
        <v>6.4339646017699126</v>
      </c>
      <c r="AM12" s="19">
        <f t="shared" si="11"/>
        <v>158.4409205043865</v>
      </c>
      <c r="AN12" s="19">
        <f t="shared" si="1"/>
        <v>130.92772591793781</v>
      </c>
      <c r="AO12" s="19">
        <f t="shared" si="12"/>
        <v>0.20977964761193404</v>
      </c>
      <c r="AP12" s="19">
        <f t="shared" si="2"/>
        <v>158.4409205043865</v>
      </c>
      <c r="AQ12" s="35"/>
      <c r="AS12" s="10"/>
      <c r="AT12" s="10"/>
      <c r="AU12" s="10"/>
      <c r="AV12" s="48"/>
      <c r="AW12" s="10"/>
    </row>
    <row r="13" spans="2:49" x14ac:dyDescent="0.25">
      <c r="B13" s="3" t="s">
        <v>230</v>
      </c>
      <c r="C13" s="5">
        <v>15.8</v>
      </c>
      <c r="D13" s="2">
        <v>11</v>
      </c>
      <c r="E13" s="2">
        <v>11</v>
      </c>
      <c r="F13" s="2">
        <v>11</v>
      </c>
      <c r="G13" s="2">
        <v>20</v>
      </c>
      <c r="H13" s="2">
        <v>4</v>
      </c>
      <c r="I13" s="2">
        <v>0</v>
      </c>
      <c r="J13" s="2">
        <v>0</v>
      </c>
      <c r="K13" s="2">
        <v>0.9</v>
      </c>
      <c r="L13" s="2">
        <v>0</v>
      </c>
      <c r="M13" s="2">
        <v>0</v>
      </c>
      <c r="N13" s="2">
        <v>32.799999999999997</v>
      </c>
      <c r="O13" s="2">
        <v>100</v>
      </c>
      <c r="P13" s="4">
        <v>0.34236111111111112</v>
      </c>
      <c r="Q13" s="10"/>
      <c r="R13" s="41"/>
      <c r="S13" s="30">
        <f t="shared" si="3"/>
        <v>7.6859999999999964</v>
      </c>
      <c r="T13" s="30">
        <v>7</v>
      </c>
      <c r="U13" s="30">
        <f t="shared" si="4"/>
        <v>0.10000000000000142</v>
      </c>
      <c r="V13" s="30">
        <f t="shared" si="13"/>
        <v>8.8938053097346398E-2</v>
      </c>
      <c r="W13" s="30">
        <f t="shared" si="5"/>
        <v>1.1061946902655023E-2</v>
      </c>
      <c r="X13" s="30">
        <f>V13+V12+V11+V10+V9+V8+V7+V6</f>
        <v>4.4469026548672561</v>
      </c>
      <c r="Y13" s="30">
        <f t="shared" si="14"/>
        <v>1.2630973451327439</v>
      </c>
      <c r="Z13" s="30">
        <f t="shared" si="6"/>
        <v>7.6970619469026511</v>
      </c>
      <c r="AA13" s="31">
        <f t="shared" si="7"/>
        <v>0.16410123159279272</v>
      </c>
      <c r="AC13" s="18"/>
      <c r="AD13" s="18"/>
      <c r="AE13" s="26" t="s">
        <v>310</v>
      </c>
      <c r="AF13" s="27">
        <v>1650</v>
      </c>
      <c r="AG13" s="19">
        <v>6</v>
      </c>
      <c r="AH13" s="19">
        <f t="shared" si="8"/>
        <v>0</v>
      </c>
      <c r="AI13" s="19">
        <f t="shared" si="0"/>
        <v>76</v>
      </c>
      <c r="AJ13" s="21">
        <v>0.28699999999999998</v>
      </c>
      <c r="AK13" s="19">
        <f t="shared" si="9"/>
        <v>4.9141345399999994E-2</v>
      </c>
      <c r="AL13" s="19">
        <f t="shared" si="10"/>
        <v>6.4229026548672579</v>
      </c>
      <c r="AM13" s="19">
        <f t="shared" si="11"/>
        <v>156.4059741840116</v>
      </c>
      <c r="AN13" s="19">
        <f t="shared" si="1"/>
        <v>130.70262123648041</v>
      </c>
      <c r="AO13" s="19">
        <f t="shared" si="12"/>
        <v>0.1963171113476877</v>
      </c>
      <c r="AP13" s="19">
        <f t="shared" si="2"/>
        <v>156.4059741840116</v>
      </c>
      <c r="AQ13" s="35"/>
      <c r="AS13" s="10"/>
      <c r="AT13" s="10"/>
      <c r="AU13" s="10"/>
      <c r="AV13" s="48"/>
      <c r="AW13" s="10"/>
    </row>
    <row r="14" spans="2:49" x14ac:dyDescent="0.25">
      <c r="B14" s="47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54"/>
      <c r="Q14" s="10"/>
      <c r="R14" s="41"/>
      <c r="S14" s="30"/>
      <c r="T14" s="30"/>
      <c r="U14" s="30"/>
      <c r="V14" s="30"/>
      <c r="W14" s="30"/>
      <c r="X14" s="30"/>
      <c r="Y14" s="30"/>
      <c r="Z14" s="30"/>
      <c r="AA14" s="31"/>
      <c r="AC14" s="18"/>
      <c r="AD14" s="18"/>
      <c r="AE14" s="24"/>
      <c r="AF14" s="25"/>
      <c r="AG14" s="19"/>
      <c r="AH14" s="19"/>
      <c r="AI14" s="19"/>
      <c r="AJ14" s="21"/>
      <c r="AK14" s="19"/>
      <c r="AL14" s="19"/>
      <c r="AM14" s="19"/>
      <c r="AN14" s="19"/>
      <c r="AO14" s="19"/>
      <c r="AP14" s="19"/>
      <c r="AQ14" s="35"/>
      <c r="AS14" s="48"/>
      <c r="AT14" s="48"/>
      <c r="AU14" s="48"/>
      <c r="AV14" s="48"/>
      <c r="AW14" s="10"/>
    </row>
    <row r="15" spans="2:49" x14ac:dyDescent="0.25">
      <c r="B15" s="47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54"/>
      <c r="Q15" s="10"/>
      <c r="R15" s="41"/>
      <c r="S15" s="30"/>
      <c r="T15" s="30"/>
      <c r="U15" s="30"/>
      <c r="V15" s="30"/>
      <c r="W15" s="30"/>
      <c r="X15" s="30"/>
      <c r="Y15" s="30"/>
      <c r="Z15" s="30"/>
      <c r="AA15" s="31"/>
      <c r="AC15" s="18"/>
      <c r="AD15" s="18"/>
      <c r="AE15" s="24"/>
      <c r="AF15" s="25"/>
      <c r="AG15" s="19"/>
      <c r="AH15" s="19"/>
      <c r="AI15" s="19"/>
      <c r="AJ15" s="21"/>
      <c r="AK15" s="19"/>
      <c r="AL15" s="19"/>
      <c r="AM15" s="19"/>
      <c r="AN15" s="19"/>
      <c r="AO15" s="19"/>
      <c r="AP15" s="19"/>
      <c r="AQ15" s="35"/>
      <c r="AS15" s="48"/>
      <c r="AT15" s="48"/>
      <c r="AU15" s="48"/>
      <c r="AV15" s="48"/>
      <c r="AW15" s="10"/>
    </row>
    <row r="16" spans="2:49" x14ac:dyDescent="0.25">
      <c r="B16" s="63" t="s">
        <v>303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10"/>
      <c r="R16" s="41"/>
      <c r="S16" s="11" t="s">
        <v>305</v>
      </c>
      <c r="T16" s="11"/>
      <c r="U16" s="11"/>
      <c r="V16" s="11"/>
      <c r="W16" s="11"/>
      <c r="X16" s="11"/>
      <c r="Y16" s="11"/>
      <c r="Z16" s="11"/>
      <c r="AA16" s="11"/>
      <c r="AC16" s="18"/>
      <c r="AD16" s="18"/>
      <c r="AE16" s="24"/>
      <c r="AF16" s="25"/>
      <c r="AG16" s="63" t="s">
        <v>305</v>
      </c>
      <c r="AH16" s="63"/>
      <c r="AI16" s="63"/>
      <c r="AJ16" s="63"/>
      <c r="AK16" s="63"/>
      <c r="AL16" s="63"/>
      <c r="AM16" s="63"/>
      <c r="AN16" s="63"/>
      <c r="AO16" s="63"/>
      <c r="AP16" s="63"/>
      <c r="AQ16" s="35"/>
      <c r="AS16" s="48"/>
      <c r="AT16" s="48"/>
      <c r="AU16" s="48"/>
      <c r="AV16" s="48"/>
      <c r="AW16" s="10"/>
    </row>
    <row r="17" spans="1:49" x14ac:dyDescent="0.25">
      <c r="B17" s="49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54"/>
      <c r="Q17" s="10"/>
      <c r="R17" s="41"/>
      <c r="AC17" s="18"/>
      <c r="AD17" s="18"/>
      <c r="AE17" s="24"/>
      <c r="AF17" s="25"/>
      <c r="AG17" s="19"/>
      <c r="AH17" s="19"/>
      <c r="AI17" s="19"/>
      <c r="AJ17" s="21"/>
      <c r="AK17" s="19"/>
      <c r="AL17" s="19"/>
      <c r="AM17" s="19"/>
      <c r="AN17" s="19"/>
      <c r="AO17" s="19"/>
      <c r="AP17" s="19"/>
      <c r="AQ17" s="35"/>
      <c r="AS17" s="48"/>
      <c r="AT17" s="48"/>
      <c r="AU17" s="48"/>
      <c r="AV17" s="48"/>
      <c r="AW17" s="10"/>
    </row>
    <row r="18" spans="1:49" x14ac:dyDescent="0.25">
      <c r="B18" s="47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54"/>
      <c r="Q18" s="10"/>
      <c r="R18" s="41"/>
      <c r="S18" t="s">
        <v>313</v>
      </c>
      <c r="X18" s="8">
        <v>5.71</v>
      </c>
      <c r="Y18" s="30"/>
      <c r="Z18" s="30"/>
      <c r="AA18" s="31"/>
      <c r="AC18" s="18"/>
      <c r="AD18" s="18"/>
      <c r="AE18" s="24"/>
      <c r="AF18" s="25"/>
      <c r="AG18" s="19"/>
      <c r="AH18" s="19"/>
      <c r="AI18" s="19"/>
      <c r="AJ18" s="21"/>
      <c r="AK18" s="19"/>
      <c r="AL18" s="19"/>
      <c r="AM18" s="19"/>
      <c r="AN18" s="19"/>
      <c r="AO18" s="19"/>
      <c r="AP18" s="19"/>
      <c r="AQ18" s="35"/>
      <c r="AS18" s="48"/>
      <c r="AT18" s="48"/>
      <c r="AU18" s="48"/>
      <c r="AV18" s="48"/>
      <c r="AW18" s="10"/>
    </row>
    <row r="19" spans="1:49" x14ac:dyDescent="0.25">
      <c r="B19" s="47"/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54"/>
      <c r="Q19" s="10"/>
      <c r="R19" s="41"/>
      <c r="S19" t="s">
        <v>312</v>
      </c>
      <c r="X19" s="8">
        <v>1.208</v>
      </c>
      <c r="Y19" s="30"/>
      <c r="Z19" s="30"/>
      <c r="AA19" s="31"/>
      <c r="AC19" s="18"/>
      <c r="AD19" s="18"/>
      <c r="AG19" s="19"/>
      <c r="AH19" s="19"/>
      <c r="AI19" s="19"/>
      <c r="AJ19" s="21"/>
      <c r="AK19" s="19"/>
      <c r="AL19" s="19"/>
      <c r="AM19" s="19"/>
      <c r="AN19" s="19"/>
      <c r="AO19" s="19"/>
      <c r="AP19" s="19"/>
      <c r="AQ19" s="35"/>
      <c r="AS19" s="48"/>
      <c r="AT19" s="48"/>
      <c r="AU19" s="48"/>
      <c r="AV19" s="48"/>
      <c r="AW19" s="10"/>
    </row>
    <row r="20" spans="1:49" x14ac:dyDescent="0.25">
      <c r="B20" s="47"/>
      <c r="C20" s="47"/>
      <c r="D20" s="53"/>
      <c r="E20" s="53"/>
      <c r="F20" s="53"/>
      <c r="G20" s="48"/>
      <c r="H20" s="48"/>
      <c r="I20" s="48"/>
      <c r="J20" s="48"/>
      <c r="K20" s="48"/>
      <c r="L20" s="48"/>
      <c r="M20" s="48"/>
      <c r="N20" s="53"/>
      <c r="O20" s="48"/>
      <c r="P20" s="54"/>
      <c r="Q20" s="39"/>
      <c r="R20" s="41"/>
      <c r="S20" t="s">
        <v>311</v>
      </c>
      <c r="X20" s="8">
        <f>S6-S13</f>
        <v>5</v>
      </c>
      <c r="Y20" s="30"/>
      <c r="Z20" s="30"/>
      <c r="AA20" s="31"/>
      <c r="AG20" s="19"/>
      <c r="AH20" s="19"/>
      <c r="AI20" s="19"/>
      <c r="AJ20" s="21"/>
      <c r="AK20" s="19"/>
      <c r="AL20" s="19"/>
      <c r="AM20" s="19"/>
      <c r="AN20" s="19"/>
      <c r="AO20" s="19"/>
      <c r="AP20" s="19"/>
      <c r="AQ20" s="35"/>
      <c r="AS20" s="53"/>
      <c r="AT20" s="53"/>
      <c r="AU20" s="53"/>
      <c r="AV20" s="10"/>
      <c r="AW20" s="10"/>
    </row>
    <row r="21" spans="1:49" x14ac:dyDescent="0.25">
      <c r="B21" s="47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50"/>
      <c r="Q21" s="10"/>
      <c r="R21" s="42"/>
      <c r="S21" t="s">
        <v>314</v>
      </c>
      <c r="X21" s="8">
        <f>X18-X19</f>
        <v>4.5019999999999998</v>
      </c>
      <c r="Y21" s="30"/>
      <c r="Z21" s="30"/>
      <c r="AA21" s="31"/>
      <c r="AG21" s="19"/>
      <c r="AH21" s="19"/>
      <c r="AI21" s="19"/>
      <c r="AJ21" s="21"/>
      <c r="AK21" s="19"/>
      <c r="AL21" s="19"/>
      <c r="AM21" s="19"/>
      <c r="AN21" s="19"/>
      <c r="AO21" s="19"/>
      <c r="AP21" s="19"/>
      <c r="AQ21" s="35"/>
      <c r="AS21" s="48"/>
      <c r="AT21" s="48"/>
      <c r="AU21" s="48"/>
      <c r="AV21" s="10"/>
    </row>
    <row r="22" spans="1:49" x14ac:dyDescent="0.25">
      <c r="Q22" s="10"/>
      <c r="R22" s="42"/>
      <c r="S22" t="s">
        <v>315</v>
      </c>
      <c r="X22" s="8">
        <f>X20-X21</f>
        <v>0.49800000000000022</v>
      </c>
      <c r="AQ22" s="35"/>
      <c r="AT22" s="10"/>
      <c r="AU22" s="10"/>
      <c r="AV22" s="10"/>
    </row>
    <row r="23" spans="1:49" x14ac:dyDescent="0.25">
      <c r="Q23" s="10"/>
      <c r="R23" s="42"/>
      <c r="AQ23" s="35"/>
      <c r="AT23" s="10"/>
      <c r="AU23" s="10"/>
      <c r="AV23" s="10"/>
    </row>
    <row r="24" spans="1:49" x14ac:dyDescent="0.25">
      <c r="B24" s="39"/>
      <c r="C24" s="3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42"/>
      <c r="Q24" s="10"/>
      <c r="R24" s="42"/>
      <c r="S24" t="s">
        <v>316</v>
      </c>
      <c r="X24" s="29">
        <f>X21/X22</f>
        <v>9.0401606425702763</v>
      </c>
      <c r="AG24" s="19"/>
      <c r="AH24" s="19"/>
      <c r="AI24" s="19"/>
      <c r="AJ24" s="21"/>
      <c r="AK24" s="19"/>
      <c r="AL24" s="19"/>
      <c r="AM24" s="19"/>
      <c r="AN24" s="19"/>
      <c r="AO24" s="19"/>
      <c r="AP24" s="19"/>
      <c r="AQ24" s="35"/>
      <c r="AT24" s="10"/>
      <c r="AU24" s="10"/>
      <c r="AV24" s="10"/>
    </row>
    <row r="25" spans="1:49" x14ac:dyDescent="0.25">
      <c r="B25" s="39"/>
      <c r="C25" s="3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42"/>
      <c r="Q25" s="10"/>
      <c r="R25" s="42"/>
      <c r="AG25" s="19"/>
      <c r="AH25" s="19"/>
      <c r="AI25" s="19"/>
      <c r="AJ25" s="21"/>
      <c r="AK25" s="19"/>
      <c r="AL25" s="19"/>
      <c r="AM25" s="19"/>
      <c r="AN25" s="19"/>
      <c r="AO25" s="19"/>
      <c r="AP25" s="19"/>
      <c r="AQ25" s="35"/>
      <c r="AT25" s="10"/>
      <c r="AU25" s="10"/>
      <c r="AV25" s="10"/>
    </row>
    <row r="26" spans="1:49" x14ac:dyDescent="0.25">
      <c r="A26" s="33"/>
      <c r="B26" s="56"/>
      <c r="C26" s="56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7"/>
      <c r="Q26" s="55"/>
      <c r="R26" s="57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58"/>
      <c r="AH26" s="58"/>
      <c r="AI26" s="58"/>
      <c r="AJ26" s="59"/>
      <c r="AK26" s="58"/>
      <c r="AL26" s="58"/>
      <c r="AM26" s="58"/>
      <c r="AN26" s="58"/>
      <c r="AO26" s="58"/>
      <c r="AP26" s="58"/>
      <c r="AQ26" s="38"/>
      <c r="AT26" s="10"/>
      <c r="AU26" s="10"/>
      <c r="AV26" s="10"/>
    </row>
    <row r="27" spans="1:49" x14ac:dyDescent="0.25">
      <c r="B27" s="39"/>
      <c r="C27" s="3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42"/>
      <c r="AG27" s="19"/>
      <c r="AH27" s="19"/>
      <c r="AI27" s="19"/>
      <c r="AJ27" s="21"/>
      <c r="AK27" s="19"/>
      <c r="AL27" s="19"/>
      <c r="AM27" s="19"/>
      <c r="AN27" s="19"/>
      <c r="AO27" s="19"/>
      <c r="AP27" s="19"/>
      <c r="AT27" s="10"/>
      <c r="AU27" s="10"/>
      <c r="AV27" s="10"/>
    </row>
    <row r="33" spans="25:26" x14ac:dyDescent="0.25">
      <c r="Z33" s="8"/>
    </row>
    <row r="35" spans="25:26" x14ac:dyDescent="0.25">
      <c r="Y35" s="18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410" spans="46:46" x14ac:dyDescent="0.25">
      <c r="AT410" s="7"/>
    </row>
    <row r="554" spans="46:46" x14ac:dyDescent="0.25">
      <c r="AT554" s="7"/>
    </row>
    <row r="684" spans="46:46" x14ac:dyDescent="0.25">
      <c r="AT684" s="7"/>
    </row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</sheetData>
  <mergeCells count="2">
    <mergeCell ref="B16:P16"/>
    <mergeCell ref="AG16:AP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E1A51-5174-4945-94DB-AB73785C7113}">
  <dimension ref="A1:AW1314"/>
  <sheetViews>
    <sheetView zoomScale="55" zoomScaleNormal="55" workbookViewId="0">
      <selection activeCell="O19" sqref="O19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4.710937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</cols>
  <sheetData>
    <row r="1" spans="2:49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9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9" x14ac:dyDescent="0.25">
      <c r="L3" s="9"/>
      <c r="M3" s="10"/>
      <c r="AQ3" s="35"/>
    </row>
    <row r="4" spans="2:49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377</v>
      </c>
      <c r="W4" s="17" t="s">
        <v>378</v>
      </c>
      <c r="X4" s="17" t="s">
        <v>379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9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9" x14ac:dyDescent="0.25">
      <c r="B6" s="3" t="s">
        <v>231</v>
      </c>
      <c r="C6" s="5">
        <v>46.7</v>
      </c>
      <c r="D6" s="2">
        <v>5</v>
      </c>
      <c r="E6" s="2">
        <v>5</v>
      </c>
      <c r="F6" s="2">
        <v>5</v>
      </c>
      <c r="G6" s="2">
        <v>20</v>
      </c>
      <c r="H6" s="2">
        <v>0.1</v>
      </c>
      <c r="I6" s="2">
        <v>0</v>
      </c>
      <c r="J6" s="2">
        <v>0</v>
      </c>
      <c r="K6" s="2">
        <v>20.9</v>
      </c>
      <c r="L6" s="2">
        <v>0</v>
      </c>
      <c r="M6" s="2">
        <v>0</v>
      </c>
      <c r="N6" s="2">
        <v>43.7</v>
      </c>
      <c r="O6" s="2">
        <v>0</v>
      </c>
      <c r="P6" s="45">
        <v>0.4375</v>
      </c>
      <c r="Q6" s="10"/>
      <c r="R6" s="41"/>
      <c r="S6" s="30">
        <f>N6-24.674</f>
        <v>19.026000000000003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8.56</v>
      </c>
      <c r="Z6" s="30">
        <f>S6-V6</f>
        <v>19.026000000000003</v>
      </c>
      <c r="AA6" s="31">
        <f>Y6/Z6</f>
        <v>0.44991064858614521</v>
      </c>
      <c r="AC6" s="18"/>
      <c r="AD6" s="18">
        <v>1000</v>
      </c>
      <c r="AE6" s="22" t="s">
        <v>309</v>
      </c>
      <c r="AF6" s="23">
        <v>1480</v>
      </c>
      <c r="AG6" s="19">
        <v>0</v>
      </c>
      <c r="AH6" s="19">
        <v>0</v>
      </c>
      <c r="AI6" s="19">
        <f t="shared" ref="AI6:AI18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10.465999999999999</v>
      </c>
      <c r="AM6" s="19">
        <f>S6/AK6</f>
        <v>387.16888691452078</v>
      </c>
      <c r="AN6" s="19">
        <f t="shared" ref="AN6:AN18" si="1">AL6/AK6</f>
        <v>212.97748189043276</v>
      </c>
      <c r="AO6" s="19">
        <f>(AA6/(1-AA6))</f>
        <v>0.81788648958532373</v>
      </c>
      <c r="AP6" s="19">
        <f t="shared" ref="AP6:AP18" si="2">AM6/(1+AQ6)</f>
        <v>387.16888691452078</v>
      </c>
      <c r="AQ6" s="35"/>
      <c r="AS6" s="10"/>
      <c r="AT6" s="10"/>
      <c r="AU6" s="10"/>
      <c r="AV6" s="48"/>
      <c r="AW6" s="10"/>
    </row>
    <row r="7" spans="2:49" x14ac:dyDescent="0.25">
      <c r="B7" s="3" t="s">
        <v>232</v>
      </c>
      <c r="C7" s="5">
        <v>50.1</v>
      </c>
      <c r="D7" s="2">
        <v>6</v>
      </c>
      <c r="E7" s="2">
        <v>6</v>
      </c>
      <c r="F7" s="2">
        <v>6</v>
      </c>
      <c r="G7" s="2">
        <v>20</v>
      </c>
      <c r="H7" s="2">
        <v>83.1</v>
      </c>
      <c r="I7" s="2">
        <v>0</v>
      </c>
      <c r="J7" s="2">
        <v>0</v>
      </c>
      <c r="K7" s="2">
        <v>0.8</v>
      </c>
      <c r="L7" s="2">
        <v>0</v>
      </c>
      <c r="M7" s="2">
        <v>0</v>
      </c>
      <c r="N7" s="2">
        <v>40.799999999999997</v>
      </c>
      <c r="O7" s="2">
        <v>2900</v>
      </c>
      <c r="P7" s="45">
        <v>0.33055555555555555</v>
      </c>
      <c r="Q7" s="10"/>
      <c r="R7" s="41"/>
      <c r="S7" s="30">
        <f t="shared" ref="S7:S18" si="3">N7-24.674</f>
        <v>16.125999999999998</v>
      </c>
      <c r="T7" s="30">
        <v>1</v>
      </c>
      <c r="U7" s="30">
        <f t="shared" ref="U7:U18" si="4">S6-S7</f>
        <v>2.9000000000000057</v>
      </c>
      <c r="V7" s="30">
        <f>U7-(U7/24.09)</f>
        <v>2.7796180987961865</v>
      </c>
      <c r="W7" s="30">
        <f t="shared" ref="W7:W18" si="5">U7-V7</f>
        <v>0.1203819012038192</v>
      </c>
      <c r="X7" s="30">
        <f>V7+V6</f>
        <v>2.7796180987961865</v>
      </c>
      <c r="Y7" s="30">
        <f>8.56-X7</f>
        <v>5.780381901203814</v>
      </c>
      <c r="Z7" s="30">
        <f t="shared" ref="Z7:Z18" si="6">S6-V7</f>
        <v>16.246381901203819</v>
      </c>
      <c r="AA7" s="31">
        <f t="shared" ref="AA7:AA18" si="7">Y7/Z7</f>
        <v>0.35579502786251144</v>
      </c>
      <c r="AC7" s="18"/>
      <c r="AD7" s="18"/>
      <c r="AE7" s="24"/>
      <c r="AF7" s="25"/>
      <c r="AG7" s="19">
        <v>1</v>
      </c>
      <c r="AH7" s="19">
        <f t="shared" ref="AH7:AH18" si="8">AG7-AG6</f>
        <v>1</v>
      </c>
      <c r="AI7" s="19">
        <f t="shared" si="0"/>
        <v>75</v>
      </c>
      <c r="AJ7" s="21">
        <v>0.28699999999999998</v>
      </c>
      <c r="AK7" s="19">
        <f t="shared" ref="AK7:AK18" si="9">((($AJ$6*$AJ$6)*3.14)/4)*(AI7/100)</f>
        <v>4.8494748749999997E-2</v>
      </c>
      <c r="AL7" s="19">
        <f t="shared" ref="AL7:AL18" si="10">AL6-W7</f>
        <v>10.34561809879618</v>
      </c>
      <c r="AM7" s="19">
        <f t="shared" ref="AM7:AM18" si="11">S7/AK7</f>
        <v>332.53084953863174</v>
      </c>
      <c r="AN7" s="19">
        <f t="shared" si="1"/>
        <v>213.33481181910815</v>
      </c>
      <c r="AO7" s="19">
        <f t="shared" ref="AO7:AO18" si="12">(AA7/(1-AA7))</f>
        <v>0.552300965144641</v>
      </c>
      <c r="AP7" s="19">
        <f t="shared" si="2"/>
        <v>332.53084953863174</v>
      </c>
      <c r="AQ7" s="35"/>
      <c r="AS7" s="10"/>
      <c r="AT7" s="10"/>
      <c r="AU7" s="10"/>
      <c r="AV7" s="48"/>
      <c r="AW7" s="10"/>
    </row>
    <row r="8" spans="2:49" x14ac:dyDescent="0.25">
      <c r="B8" s="3" t="s">
        <v>233</v>
      </c>
      <c r="C8" s="5">
        <v>43.4</v>
      </c>
      <c r="D8" s="2">
        <v>8</v>
      </c>
      <c r="E8" s="2">
        <v>8</v>
      </c>
      <c r="F8" s="2">
        <v>8</v>
      </c>
      <c r="G8" s="2">
        <v>20</v>
      </c>
      <c r="H8" s="2">
        <v>73.400000000000006</v>
      </c>
      <c r="I8" s="2">
        <v>1</v>
      </c>
      <c r="J8" s="2">
        <v>0</v>
      </c>
      <c r="K8" s="2">
        <v>0.8</v>
      </c>
      <c r="L8" s="2">
        <v>0</v>
      </c>
      <c r="M8" s="2">
        <v>0</v>
      </c>
      <c r="N8" s="2">
        <v>39.200000000000003</v>
      </c>
      <c r="O8" s="2">
        <v>1600</v>
      </c>
      <c r="P8" s="45">
        <v>0.34791666666666665</v>
      </c>
      <c r="Q8" s="10"/>
      <c r="R8" s="41"/>
      <c r="S8" s="30">
        <f t="shared" si="3"/>
        <v>14.526000000000003</v>
      </c>
      <c r="T8" s="30">
        <v>2</v>
      </c>
      <c r="U8" s="30">
        <f t="shared" si="4"/>
        <v>1.5999999999999943</v>
      </c>
      <c r="V8" s="30">
        <f t="shared" ref="V8:V18" si="13">U8-(U8/24.09)</f>
        <v>1.5335823993358186</v>
      </c>
      <c r="W8" s="30">
        <f t="shared" si="5"/>
        <v>6.641760066417568E-2</v>
      </c>
      <c r="X8" s="30">
        <f>V7+V8+V6</f>
        <v>4.3132004981320051</v>
      </c>
      <c r="Y8" s="30">
        <f t="shared" ref="Y8:Y18" si="14">8.56-X8</f>
        <v>4.2467995018679954</v>
      </c>
      <c r="Z8" s="30">
        <f t="shared" si="6"/>
        <v>14.592417600664179</v>
      </c>
      <c r="AA8" s="31">
        <f t="shared" si="7"/>
        <v>0.29102782130321575</v>
      </c>
      <c r="AC8" s="18"/>
      <c r="AD8" s="18"/>
      <c r="AE8" s="24"/>
      <c r="AF8" s="25"/>
      <c r="AG8" s="19">
        <v>3</v>
      </c>
      <c r="AH8" s="19">
        <f t="shared" si="8"/>
        <v>2</v>
      </c>
      <c r="AI8" s="19">
        <f t="shared" si="0"/>
        <v>74</v>
      </c>
      <c r="AJ8" s="21">
        <v>0.28699999999999998</v>
      </c>
      <c r="AK8" s="19">
        <f t="shared" si="9"/>
        <v>4.7848152099999992E-2</v>
      </c>
      <c r="AL8" s="19">
        <f t="shared" si="10"/>
        <v>10.279200498132004</v>
      </c>
      <c r="AM8" s="19">
        <f t="shared" si="11"/>
        <v>303.58539175434544</v>
      </c>
      <c r="AN8" s="19">
        <f t="shared" si="1"/>
        <v>214.82962344395335</v>
      </c>
      <c r="AO8" s="19">
        <f t="shared" si="12"/>
        <v>0.41049258355691215</v>
      </c>
      <c r="AP8" s="19">
        <f t="shared" si="2"/>
        <v>303.58539175434544</v>
      </c>
      <c r="AQ8" s="35"/>
      <c r="AS8" s="10"/>
      <c r="AT8" s="10"/>
      <c r="AU8" s="10"/>
      <c r="AV8" s="48"/>
      <c r="AW8" s="10"/>
    </row>
    <row r="9" spans="2:49" x14ac:dyDescent="0.25">
      <c r="B9" s="3" t="s">
        <v>234</v>
      </c>
      <c r="C9" s="5">
        <v>12.5</v>
      </c>
      <c r="D9" s="2">
        <v>9</v>
      </c>
      <c r="E9" s="2">
        <v>9</v>
      </c>
      <c r="F9" s="2">
        <v>9</v>
      </c>
      <c r="G9" s="2">
        <v>20</v>
      </c>
      <c r="H9" s="2">
        <v>4.5</v>
      </c>
      <c r="I9" s="2">
        <v>1</v>
      </c>
      <c r="J9" s="2">
        <v>0</v>
      </c>
      <c r="K9" s="2">
        <v>0.8</v>
      </c>
      <c r="L9" s="2">
        <v>0</v>
      </c>
      <c r="M9" s="2">
        <v>0</v>
      </c>
      <c r="N9" s="2">
        <v>38.6</v>
      </c>
      <c r="O9" s="2">
        <v>600</v>
      </c>
      <c r="P9" s="45">
        <v>0.32500000000000001</v>
      </c>
      <c r="Q9" s="10"/>
      <c r="R9" s="41"/>
      <c r="S9" s="30">
        <f t="shared" si="3"/>
        <v>13.926000000000002</v>
      </c>
      <c r="T9" s="30">
        <v>3</v>
      </c>
      <c r="U9" s="30">
        <f t="shared" si="4"/>
        <v>0.60000000000000142</v>
      </c>
      <c r="V9" s="30">
        <f t="shared" si="13"/>
        <v>0.57509339975093532</v>
      </c>
      <c r="W9" s="30">
        <f t="shared" si="5"/>
        <v>2.4906600249066102E-2</v>
      </c>
      <c r="X9" s="30">
        <f>V9+V8+V7+V6</f>
        <v>4.8882938978829404</v>
      </c>
      <c r="Y9" s="30">
        <f t="shared" si="14"/>
        <v>3.6717061021170601</v>
      </c>
      <c r="Z9" s="30">
        <f t="shared" si="6"/>
        <v>13.950906600249068</v>
      </c>
      <c r="AA9" s="31">
        <f t="shared" si="7"/>
        <v>0.26318763413207197</v>
      </c>
      <c r="AC9" s="18"/>
      <c r="AD9" s="18"/>
      <c r="AE9" s="24"/>
      <c r="AF9" s="25"/>
      <c r="AG9" s="19">
        <v>4</v>
      </c>
      <c r="AH9" s="19">
        <f t="shared" si="8"/>
        <v>1</v>
      </c>
      <c r="AI9" s="19">
        <f t="shared" si="0"/>
        <v>75</v>
      </c>
      <c r="AJ9" s="21">
        <v>0.28699999999999998</v>
      </c>
      <c r="AK9" s="19">
        <f t="shared" si="9"/>
        <v>4.8494748749999997E-2</v>
      </c>
      <c r="AL9" s="19">
        <f t="shared" si="10"/>
        <v>10.254293897882938</v>
      </c>
      <c r="AM9" s="19">
        <f t="shared" si="11"/>
        <v>287.16511290307494</v>
      </c>
      <c r="AN9" s="19">
        <f t="shared" si="1"/>
        <v>211.45163470679779</v>
      </c>
      <c r="AO9" s="19">
        <f t="shared" si="12"/>
        <v>0.35719763446430508</v>
      </c>
      <c r="AP9" s="19">
        <f t="shared" si="2"/>
        <v>287.16511290307494</v>
      </c>
      <c r="AQ9" s="35"/>
      <c r="AS9" s="10"/>
      <c r="AT9" s="10"/>
      <c r="AU9" s="10"/>
      <c r="AV9" s="48"/>
      <c r="AW9" s="10"/>
    </row>
    <row r="10" spans="2:49" x14ac:dyDescent="0.25">
      <c r="B10" s="3" t="s">
        <v>235</v>
      </c>
      <c r="C10" s="5">
        <v>12</v>
      </c>
      <c r="D10" s="2">
        <v>11</v>
      </c>
      <c r="E10" s="2">
        <v>11</v>
      </c>
      <c r="F10" s="2">
        <v>11</v>
      </c>
      <c r="G10" s="2">
        <v>20</v>
      </c>
      <c r="H10" s="2">
        <v>4.7</v>
      </c>
      <c r="I10" s="2">
        <v>1</v>
      </c>
      <c r="J10" s="2">
        <v>0</v>
      </c>
      <c r="K10" s="2">
        <v>0.9</v>
      </c>
      <c r="L10" s="2">
        <v>0</v>
      </c>
      <c r="M10" s="2">
        <v>0</v>
      </c>
      <c r="N10" s="2">
        <v>38.299999999999997</v>
      </c>
      <c r="O10" s="2">
        <v>300</v>
      </c>
      <c r="P10" s="45">
        <v>0.32777777777777778</v>
      </c>
      <c r="Q10" s="10"/>
      <c r="R10" s="41"/>
      <c r="S10" s="30">
        <f t="shared" si="3"/>
        <v>13.625999999999998</v>
      </c>
      <c r="T10" s="30">
        <v>4</v>
      </c>
      <c r="U10" s="30">
        <f t="shared" si="4"/>
        <v>0.30000000000000426</v>
      </c>
      <c r="V10" s="30">
        <f t="shared" si="13"/>
        <v>0.2875466998754711</v>
      </c>
      <c r="W10" s="30">
        <f t="shared" si="5"/>
        <v>1.2453300124533162E-2</v>
      </c>
      <c r="X10" s="30">
        <f>V10+V9+V8+V7+V6</f>
        <v>5.1758405977584117</v>
      </c>
      <c r="Y10" s="30">
        <f t="shared" si="14"/>
        <v>3.3841594022415888</v>
      </c>
      <c r="Z10" s="30">
        <f t="shared" si="6"/>
        <v>13.638453300124532</v>
      </c>
      <c r="AA10" s="31">
        <f t="shared" si="7"/>
        <v>0.24813366499635911</v>
      </c>
      <c r="AC10" s="18"/>
      <c r="AD10" s="18"/>
      <c r="AE10" s="24"/>
      <c r="AF10" s="25"/>
      <c r="AG10" s="19">
        <v>6</v>
      </c>
      <c r="AH10" s="19">
        <f t="shared" si="8"/>
        <v>2</v>
      </c>
      <c r="AI10" s="19">
        <f t="shared" si="0"/>
        <v>74</v>
      </c>
      <c r="AJ10" s="21">
        <v>0.28699999999999998</v>
      </c>
      <c r="AK10" s="19">
        <f t="shared" si="9"/>
        <v>4.7848152099999992E-2</v>
      </c>
      <c r="AL10" s="19">
        <f t="shared" si="10"/>
        <v>10.241840597758404</v>
      </c>
      <c r="AM10" s="19">
        <f t="shared" si="11"/>
        <v>284.77588792817767</v>
      </c>
      <c r="AN10" s="19">
        <f t="shared" si="1"/>
        <v>214.04882212281728</v>
      </c>
      <c r="AO10" s="19">
        <f t="shared" si="12"/>
        <v>0.33002364043225518</v>
      </c>
      <c r="AP10" s="19">
        <f t="shared" si="2"/>
        <v>284.77588792817767</v>
      </c>
      <c r="AQ10" s="35"/>
      <c r="AS10" s="10"/>
      <c r="AT10" s="10"/>
      <c r="AU10" s="10"/>
      <c r="AV10" s="48"/>
      <c r="AW10" s="10"/>
    </row>
    <row r="11" spans="2:49" x14ac:dyDescent="0.25">
      <c r="B11" s="3" t="s">
        <v>236</v>
      </c>
      <c r="C11" s="5">
        <v>17.7</v>
      </c>
      <c r="D11" s="2">
        <v>12</v>
      </c>
      <c r="E11" s="2">
        <v>12</v>
      </c>
      <c r="F11" s="2">
        <v>12</v>
      </c>
      <c r="G11" s="2">
        <v>20</v>
      </c>
      <c r="H11" s="2">
        <v>3</v>
      </c>
      <c r="I11" s="2">
        <v>0</v>
      </c>
      <c r="J11" s="2">
        <v>0</v>
      </c>
      <c r="K11" s="2">
        <v>0.8</v>
      </c>
      <c r="L11" s="2">
        <v>0</v>
      </c>
      <c r="M11" s="2">
        <v>0</v>
      </c>
      <c r="N11" s="2">
        <v>38.200000000000003</v>
      </c>
      <c r="O11" s="2">
        <v>100</v>
      </c>
      <c r="P11" s="45">
        <v>0.34513888888888888</v>
      </c>
      <c r="Q11" s="10"/>
      <c r="R11" s="41"/>
      <c r="S11" s="30">
        <f t="shared" si="3"/>
        <v>13.526000000000003</v>
      </c>
      <c r="T11" s="30">
        <v>5</v>
      </c>
      <c r="U11" s="30">
        <f t="shared" si="4"/>
        <v>9.9999999999994316E-2</v>
      </c>
      <c r="V11" s="30">
        <f t="shared" si="13"/>
        <v>9.5848899958483558E-2</v>
      </c>
      <c r="W11" s="30">
        <f t="shared" si="5"/>
        <v>4.151100041510758E-3</v>
      </c>
      <c r="X11" s="30">
        <f>V11+V10+V9+V8+V7+V6</f>
        <v>5.2716894977168955</v>
      </c>
      <c r="Y11" s="30">
        <f t="shared" si="14"/>
        <v>3.288310502283105</v>
      </c>
      <c r="Z11" s="30">
        <f t="shared" si="6"/>
        <v>13.530151100041515</v>
      </c>
      <c r="AA11" s="31">
        <f t="shared" si="7"/>
        <v>0.2430357560658</v>
      </c>
      <c r="AC11" s="18"/>
      <c r="AD11" s="18"/>
      <c r="AE11" s="24"/>
      <c r="AF11" s="25"/>
      <c r="AG11" s="19">
        <v>7</v>
      </c>
      <c r="AH11" s="19">
        <f t="shared" si="8"/>
        <v>1</v>
      </c>
      <c r="AI11" s="19">
        <f t="shared" si="0"/>
        <v>75</v>
      </c>
      <c r="AJ11" s="21">
        <v>0.28699999999999998</v>
      </c>
      <c r="AK11" s="19">
        <f t="shared" si="9"/>
        <v>4.8494748749999997E-2</v>
      </c>
      <c r="AL11" s="19">
        <f t="shared" si="10"/>
        <v>10.237689497716893</v>
      </c>
      <c r="AM11" s="19">
        <f t="shared" si="11"/>
        <v>278.91679715115555</v>
      </c>
      <c r="AN11" s="19">
        <f t="shared" si="1"/>
        <v>211.10923886819589</v>
      </c>
      <c r="AO11" s="19">
        <f t="shared" si="12"/>
        <v>0.3210663621344394</v>
      </c>
      <c r="AP11" s="19">
        <f t="shared" si="2"/>
        <v>278.91679715115555</v>
      </c>
      <c r="AQ11" s="35"/>
      <c r="AS11" s="10"/>
      <c r="AT11" s="10"/>
      <c r="AU11" s="10"/>
      <c r="AV11" s="48"/>
      <c r="AW11" s="10"/>
    </row>
    <row r="12" spans="2:49" x14ac:dyDescent="0.25">
      <c r="B12" s="3" t="s">
        <v>237</v>
      </c>
      <c r="C12" s="5">
        <v>13.1</v>
      </c>
      <c r="D12" s="2">
        <v>12</v>
      </c>
      <c r="E12" s="2">
        <v>12</v>
      </c>
      <c r="F12" s="2">
        <v>12</v>
      </c>
      <c r="G12" s="2">
        <v>20</v>
      </c>
      <c r="H12" s="2">
        <v>4.3</v>
      </c>
      <c r="I12" s="2">
        <v>0</v>
      </c>
      <c r="J12" s="2">
        <v>0</v>
      </c>
      <c r="K12" s="2">
        <v>0.8</v>
      </c>
      <c r="L12" s="2">
        <v>0</v>
      </c>
      <c r="M12" s="2">
        <v>0</v>
      </c>
      <c r="N12" s="2">
        <v>38</v>
      </c>
      <c r="O12" s="2">
        <v>200</v>
      </c>
      <c r="P12" s="45">
        <v>0.32847222222222222</v>
      </c>
      <c r="Q12" s="10"/>
      <c r="R12" s="41"/>
      <c r="S12" s="30">
        <f t="shared" si="3"/>
        <v>13.326000000000001</v>
      </c>
      <c r="T12" s="30">
        <v>6</v>
      </c>
      <c r="U12" s="30">
        <f t="shared" si="4"/>
        <v>0.20000000000000284</v>
      </c>
      <c r="V12" s="30">
        <f t="shared" si="13"/>
        <v>0.19169779991698072</v>
      </c>
      <c r="W12" s="30">
        <f t="shared" si="5"/>
        <v>8.3022000830221265E-3</v>
      </c>
      <c r="X12" s="30">
        <f>V12+V11+V10+V9+V8+V7+V6</f>
        <v>5.4633872976338758</v>
      </c>
      <c r="Y12" s="30">
        <f t="shared" si="14"/>
        <v>3.0966127023661247</v>
      </c>
      <c r="Z12" s="30">
        <f t="shared" si="6"/>
        <v>13.334302200083023</v>
      </c>
      <c r="AA12" s="31">
        <f t="shared" si="7"/>
        <v>0.23222907775007862</v>
      </c>
      <c r="AC12" s="18"/>
      <c r="AD12" s="18"/>
      <c r="AE12" s="24"/>
      <c r="AF12" s="25"/>
      <c r="AG12" s="19">
        <v>7</v>
      </c>
      <c r="AH12" s="19">
        <f t="shared" si="8"/>
        <v>0</v>
      </c>
      <c r="AI12" s="19">
        <f t="shared" si="0"/>
        <v>76</v>
      </c>
      <c r="AJ12" s="21">
        <v>0.28699999999999998</v>
      </c>
      <c r="AK12" s="19">
        <f t="shared" si="9"/>
        <v>4.9141345399999994E-2</v>
      </c>
      <c r="AL12" s="19">
        <f t="shared" si="10"/>
        <v>10.22938729763387</v>
      </c>
      <c r="AM12" s="19">
        <f t="shared" si="11"/>
        <v>271.17694665315372</v>
      </c>
      <c r="AN12" s="19">
        <f t="shared" si="1"/>
        <v>208.1625404100937</v>
      </c>
      <c r="AO12" s="19">
        <f t="shared" si="12"/>
        <v>0.30247183244390236</v>
      </c>
      <c r="AP12" s="19">
        <f t="shared" si="2"/>
        <v>271.17694665315372</v>
      </c>
      <c r="AQ12" s="35"/>
      <c r="AS12" s="10"/>
      <c r="AT12" s="10"/>
      <c r="AU12" s="10"/>
      <c r="AV12" s="48"/>
      <c r="AW12" s="10"/>
    </row>
    <row r="13" spans="2:49" x14ac:dyDescent="0.25">
      <c r="B13" s="3" t="s">
        <v>238</v>
      </c>
      <c r="C13" s="5">
        <v>12.7</v>
      </c>
      <c r="D13" s="2">
        <v>12</v>
      </c>
      <c r="E13" s="2">
        <v>12</v>
      </c>
      <c r="F13" s="2">
        <v>12</v>
      </c>
      <c r="G13" s="2">
        <v>20</v>
      </c>
      <c r="H13" s="2">
        <v>4.3</v>
      </c>
      <c r="I13" s="2">
        <v>0</v>
      </c>
      <c r="J13" s="2">
        <v>0</v>
      </c>
      <c r="K13" s="2">
        <v>0.8</v>
      </c>
      <c r="L13" s="2">
        <v>0</v>
      </c>
      <c r="M13" s="2">
        <v>0</v>
      </c>
      <c r="N13" s="2">
        <v>37.799999999999997</v>
      </c>
      <c r="O13" s="2">
        <v>200</v>
      </c>
      <c r="P13" s="45">
        <v>0.33333333333333331</v>
      </c>
      <c r="Q13" s="10"/>
      <c r="R13" s="41"/>
      <c r="S13" s="30">
        <f t="shared" si="3"/>
        <v>13.125999999999998</v>
      </c>
      <c r="T13" s="30">
        <v>7</v>
      </c>
      <c r="U13" s="30">
        <f t="shared" si="4"/>
        <v>0.20000000000000284</v>
      </c>
      <c r="V13" s="30">
        <f t="shared" si="13"/>
        <v>0.19169779991698072</v>
      </c>
      <c r="W13" s="30">
        <f t="shared" si="5"/>
        <v>8.3022000830221265E-3</v>
      </c>
      <c r="X13" s="30">
        <f>V13+V12+V11+V10+V9+V8+V7+V6</f>
        <v>5.655085097550856</v>
      </c>
      <c r="Y13" s="30">
        <f t="shared" si="14"/>
        <v>2.9049149024491445</v>
      </c>
      <c r="Z13" s="30">
        <f t="shared" si="6"/>
        <v>13.13430220008302</v>
      </c>
      <c r="AA13" s="31">
        <f t="shared" si="7"/>
        <v>0.22117009782451807</v>
      </c>
      <c r="AC13" s="18"/>
      <c r="AD13" s="18"/>
      <c r="AE13" s="24"/>
      <c r="AF13" s="25"/>
      <c r="AG13" s="19">
        <v>7</v>
      </c>
      <c r="AH13" s="19">
        <f t="shared" si="8"/>
        <v>0</v>
      </c>
      <c r="AI13" s="19">
        <f t="shared" si="0"/>
        <v>76</v>
      </c>
      <c r="AJ13" s="21">
        <v>0.28699999999999998</v>
      </c>
      <c r="AK13" s="19">
        <f t="shared" si="9"/>
        <v>4.9141345399999994E-2</v>
      </c>
      <c r="AL13" s="19">
        <f t="shared" si="10"/>
        <v>10.221085097550848</v>
      </c>
      <c r="AM13" s="19">
        <f t="shared" si="11"/>
        <v>267.10705401240398</v>
      </c>
      <c r="AN13" s="19">
        <f t="shared" si="1"/>
        <v>207.99359509499405</v>
      </c>
      <c r="AO13" s="19">
        <f t="shared" si="12"/>
        <v>0.28397740919645015</v>
      </c>
      <c r="AP13" s="19">
        <f t="shared" si="2"/>
        <v>267.10705401240398</v>
      </c>
      <c r="AQ13" s="35"/>
      <c r="AS13" s="10"/>
      <c r="AT13" s="10"/>
      <c r="AU13" s="10"/>
      <c r="AV13" s="48"/>
      <c r="AW13" s="10"/>
    </row>
    <row r="14" spans="2:49" x14ac:dyDescent="0.25">
      <c r="B14" s="3" t="s">
        <v>239</v>
      </c>
      <c r="C14" s="5">
        <v>13.3</v>
      </c>
      <c r="D14" s="2">
        <v>13</v>
      </c>
      <c r="E14" s="2">
        <v>13</v>
      </c>
      <c r="F14" s="2">
        <v>13</v>
      </c>
      <c r="G14" s="2">
        <v>20</v>
      </c>
      <c r="H14" s="2">
        <v>4.3</v>
      </c>
      <c r="I14" s="2">
        <v>0</v>
      </c>
      <c r="J14" s="2">
        <v>0</v>
      </c>
      <c r="K14" s="2">
        <v>0.8</v>
      </c>
      <c r="L14" s="2">
        <v>0</v>
      </c>
      <c r="M14" s="2">
        <v>0</v>
      </c>
      <c r="N14" s="2">
        <v>37.700000000000003</v>
      </c>
      <c r="O14" s="2">
        <v>100</v>
      </c>
      <c r="P14" s="45">
        <v>0.32500000000000001</v>
      </c>
      <c r="Q14" s="10"/>
      <c r="R14" s="41"/>
      <c r="S14" s="30">
        <f t="shared" si="3"/>
        <v>13.026000000000003</v>
      </c>
      <c r="T14" s="30">
        <v>8</v>
      </c>
      <c r="U14" s="30">
        <f t="shared" si="4"/>
        <v>9.9999999999994316E-2</v>
      </c>
      <c r="V14" s="30">
        <f t="shared" si="13"/>
        <v>9.5848899958483558E-2</v>
      </c>
      <c r="W14" s="30">
        <f t="shared" si="5"/>
        <v>4.151100041510758E-3</v>
      </c>
      <c r="X14" s="30">
        <f>V14+V13+V12+V11+V10+V9+V8+V7+V6</f>
        <v>5.7509339975093399</v>
      </c>
      <c r="Y14" s="30">
        <f t="shared" si="14"/>
        <v>2.8090660024906606</v>
      </c>
      <c r="Z14" s="30">
        <f t="shared" si="6"/>
        <v>13.030151100041515</v>
      </c>
      <c r="AA14" s="31">
        <f t="shared" si="7"/>
        <v>0.21558199754734317</v>
      </c>
      <c r="AC14" s="18"/>
      <c r="AD14" s="18"/>
      <c r="AE14" s="24"/>
      <c r="AF14" s="25"/>
      <c r="AG14" s="19">
        <v>8</v>
      </c>
      <c r="AH14" s="19">
        <f t="shared" si="8"/>
        <v>1</v>
      </c>
      <c r="AI14" s="19">
        <f t="shared" si="0"/>
        <v>75</v>
      </c>
      <c r="AJ14" s="21">
        <v>0.28699999999999998</v>
      </c>
      <c r="AK14" s="19">
        <f t="shared" si="9"/>
        <v>4.8494748749999997E-2</v>
      </c>
      <c r="AL14" s="19">
        <f t="shared" si="10"/>
        <v>10.216933997509337</v>
      </c>
      <c r="AM14" s="19">
        <f t="shared" si="11"/>
        <v>268.60640246125627</v>
      </c>
      <c r="AN14" s="19">
        <f t="shared" si="1"/>
        <v>210.68124406994349</v>
      </c>
      <c r="AO14" s="19">
        <f t="shared" si="12"/>
        <v>0.27483050729748459</v>
      </c>
      <c r="AP14" s="19">
        <f t="shared" si="2"/>
        <v>268.60640246125627</v>
      </c>
      <c r="AQ14" s="35"/>
      <c r="AS14" s="10"/>
      <c r="AT14" s="10"/>
      <c r="AU14" s="10"/>
      <c r="AV14" s="48"/>
      <c r="AW14" s="10"/>
    </row>
    <row r="15" spans="2:49" x14ac:dyDescent="0.25">
      <c r="B15" s="3" t="s">
        <v>240</v>
      </c>
      <c r="C15" s="5">
        <v>14.7</v>
      </c>
      <c r="D15" s="2">
        <v>13</v>
      </c>
      <c r="E15" s="2">
        <v>13</v>
      </c>
      <c r="F15" s="2">
        <v>13</v>
      </c>
      <c r="G15" s="2">
        <v>20</v>
      </c>
      <c r="H15" s="2">
        <v>4.0999999999999996</v>
      </c>
      <c r="I15" s="2">
        <v>0</v>
      </c>
      <c r="J15" s="2">
        <v>0</v>
      </c>
      <c r="K15" s="2">
        <v>0.8</v>
      </c>
      <c r="L15" s="2">
        <v>0</v>
      </c>
      <c r="M15" s="2">
        <v>0</v>
      </c>
      <c r="N15" s="2">
        <v>37.5</v>
      </c>
      <c r="O15" s="2">
        <v>200</v>
      </c>
      <c r="P15" s="45">
        <v>0.3354166666666667</v>
      </c>
      <c r="Q15" s="10"/>
      <c r="R15" s="41"/>
      <c r="S15" s="30">
        <f t="shared" si="3"/>
        <v>12.826000000000001</v>
      </c>
      <c r="T15" s="30">
        <v>9</v>
      </c>
      <c r="U15" s="30">
        <f t="shared" si="4"/>
        <v>0.20000000000000284</v>
      </c>
      <c r="V15" s="30">
        <f t="shared" si="13"/>
        <v>0.19169779991698072</v>
      </c>
      <c r="W15" s="30">
        <f t="shared" si="5"/>
        <v>8.3022000830221265E-3</v>
      </c>
      <c r="X15" s="30">
        <f>V15+V14+V13+V12+V11+V10+V9+V8+V7+V6</f>
        <v>5.942631797426321</v>
      </c>
      <c r="Y15" s="30">
        <f t="shared" si="14"/>
        <v>2.6173682025736795</v>
      </c>
      <c r="Z15" s="30">
        <f t="shared" si="6"/>
        <v>12.834302200083023</v>
      </c>
      <c r="AA15" s="31">
        <f t="shared" si="7"/>
        <v>0.2039353727043102</v>
      </c>
      <c r="AC15" s="18"/>
      <c r="AD15" s="18"/>
      <c r="AE15" s="24"/>
      <c r="AF15" s="25"/>
      <c r="AG15" s="19">
        <v>8</v>
      </c>
      <c r="AH15" s="19">
        <f t="shared" si="8"/>
        <v>0</v>
      </c>
      <c r="AI15" s="19">
        <f t="shared" si="0"/>
        <v>76</v>
      </c>
      <c r="AJ15" s="21">
        <v>0.28699999999999998</v>
      </c>
      <c r="AK15" s="19">
        <f t="shared" si="9"/>
        <v>4.9141345399999994E-2</v>
      </c>
      <c r="AL15" s="19">
        <f t="shared" si="10"/>
        <v>10.208631797426314</v>
      </c>
      <c r="AM15" s="19">
        <f t="shared" si="11"/>
        <v>261.00221505127945</v>
      </c>
      <c r="AN15" s="19">
        <f t="shared" si="1"/>
        <v>207.74017712234462</v>
      </c>
      <c r="AO15" s="19">
        <f t="shared" si="12"/>
        <v>0.25617941774036462</v>
      </c>
      <c r="AP15" s="19">
        <f t="shared" si="2"/>
        <v>261.00221505127945</v>
      </c>
      <c r="AQ15" s="35"/>
      <c r="AS15" s="10"/>
      <c r="AT15" s="10"/>
      <c r="AU15" s="10"/>
      <c r="AV15" s="48"/>
      <c r="AW15" s="10"/>
    </row>
    <row r="16" spans="2:49" x14ac:dyDescent="0.25">
      <c r="B16" s="3" t="s">
        <v>241</v>
      </c>
      <c r="C16" s="5">
        <v>15.4</v>
      </c>
      <c r="D16" s="2">
        <v>13</v>
      </c>
      <c r="E16" s="2">
        <v>13</v>
      </c>
      <c r="F16" s="2">
        <v>13</v>
      </c>
      <c r="G16" s="2">
        <v>20</v>
      </c>
      <c r="H16" s="2">
        <v>4.4000000000000004</v>
      </c>
      <c r="I16" s="2">
        <v>1</v>
      </c>
      <c r="J16" s="2">
        <v>0</v>
      </c>
      <c r="K16" s="2">
        <v>0.8</v>
      </c>
      <c r="L16" s="2">
        <v>0</v>
      </c>
      <c r="M16" s="2">
        <v>0</v>
      </c>
      <c r="N16" s="2">
        <v>37.299999999999997</v>
      </c>
      <c r="O16" s="2">
        <v>200</v>
      </c>
      <c r="P16" s="45">
        <v>0.31944444444444448</v>
      </c>
      <c r="Q16" s="10"/>
      <c r="R16" s="41"/>
      <c r="S16" s="30">
        <f t="shared" si="3"/>
        <v>12.625999999999998</v>
      </c>
      <c r="T16" s="30">
        <v>10</v>
      </c>
      <c r="U16" s="30">
        <f t="shared" si="4"/>
        <v>0.20000000000000284</v>
      </c>
      <c r="V16" s="30">
        <f t="shared" si="13"/>
        <v>0.19169779991698072</v>
      </c>
      <c r="W16" s="30">
        <f t="shared" si="5"/>
        <v>8.3022000830221265E-3</v>
      </c>
      <c r="X16" s="30">
        <f>V16+V15+V14+V13+V12+V11+V10+V9+V8+V7+V6</f>
        <v>6.1343295973433012</v>
      </c>
      <c r="Y16" s="30">
        <f t="shared" si="14"/>
        <v>2.4256704026566993</v>
      </c>
      <c r="Z16" s="30">
        <f t="shared" si="6"/>
        <v>12.63430220008302</v>
      </c>
      <c r="AA16" s="31">
        <f t="shared" si="7"/>
        <v>0.19199084874198752</v>
      </c>
      <c r="AC16" s="18"/>
      <c r="AD16" s="18"/>
      <c r="AE16" s="24"/>
      <c r="AF16" s="25"/>
      <c r="AG16" s="19">
        <v>8</v>
      </c>
      <c r="AH16" s="19">
        <f t="shared" si="8"/>
        <v>0</v>
      </c>
      <c r="AI16" s="19">
        <f t="shared" si="0"/>
        <v>76</v>
      </c>
      <c r="AJ16" s="21">
        <v>0.28699999999999998</v>
      </c>
      <c r="AK16" s="19">
        <f t="shared" si="9"/>
        <v>4.9141345399999994E-2</v>
      </c>
      <c r="AL16" s="19">
        <f t="shared" si="10"/>
        <v>10.200329597343291</v>
      </c>
      <c r="AM16" s="19">
        <f t="shared" si="11"/>
        <v>256.93232241052965</v>
      </c>
      <c r="AN16" s="19">
        <f t="shared" si="1"/>
        <v>207.571231807245</v>
      </c>
      <c r="AO16" s="19">
        <f t="shared" si="12"/>
        <v>0.23760974543799596</v>
      </c>
      <c r="AP16" s="19">
        <f t="shared" si="2"/>
        <v>256.93232241052965</v>
      </c>
      <c r="AQ16" s="35"/>
      <c r="AS16" s="10"/>
      <c r="AT16" s="10"/>
      <c r="AU16" s="10"/>
      <c r="AV16" s="48"/>
      <c r="AW16" s="10"/>
    </row>
    <row r="17" spans="2:49" x14ac:dyDescent="0.25">
      <c r="B17" s="6" t="s">
        <v>242</v>
      </c>
      <c r="C17" s="5">
        <v>16.8</v>
      </c>
      <c r="D17" s="2">
        <v>13</v>
      </c>
      <c r="E17" s="2">
        <v>13</v>
      </c>
      <c r="F17" s="2">
        <v>13</v>
      </c>
      <c r="G17" s="2">
        <v>20</v>
      </c>
      <c r="H17" s="2">
        <v>4.3</v>
      </c>
      <c r="I17" s="2">
        <v>1</v>
      </c>
      <c r="J17" s="2">
        <v>0</v>
      </c>
      <c r="K17" s="2">
        <v>0.8</v>
      </c>
      <c r="L17" s="2">
        <v>0</v>
      </c>
      <c r="M17" s="2">
        <v>0</v>
      </c>
      <c r="N17" s="2">
        <v>37.200000000000003</v>
      </c>
      <c r="O17" s="2">
        <v>100</v>
      </c>
      <c r="P17" s="45">
        <v>0.3215277777777778</v>
      </c>
      <c r="Q17" s="10"/>
      <c r="R17" s="41"/>
      <c r="S17" s="30">
        <f t="shared" si="3"/>
        <v>12.526000000000003</v>
      </c>
      <c r="T17" s="30">
        <v>11</v>
      </c>
      <c r="U17" s="30">
        <f t="shared" si="4"/>
        <v>9.9999999999994316E-2</v>
      </c>
      <c r="V17" s="30">
        <f t="shared" si="13"/>
        <v>9.5848899958483558E-2</v>
      </c>
      <c r="W17" s="30">
        <f t="shared" si="5"/>
        <v>4.151100041510758E-3</v>
      </c>
      <c r="X17" s="30">
        <f>V17+V16+V15+V14+V13+V12+V11+V10+V9+V8+V7+V6</f>
        <v>6.2301784973017851</v>
      </c>
      <c r="Y17" s="30">
        <f t="shared" si="14"/>
        <v>2.3298215026982154</v>
      </c>
      <c r="Z17" s="30">
        <f t="shared" si="6"/>
        <v>12.530151100041515</v>
      </c>
      <c r="AA17" s="31">
        <f t="shared" si="7"/>
        <v>0.18593722327023623</v>
      </c>
      <c r="AC17" s="18"/>
      <c r="AD17" s="18"/>
      <c r="AE17" s="24"/>
      <c r="AF17" s="25"/>
      <c r="AG17" s="19">
        <v>8</v>
      </c>
      <c r="AH17" s="19">
        <f t="shared" si="8"/>
        <v>0</v>
      </c>
      <c r="AI17" s="19">
        <f t="shared" si="0"/>
        <v>76</v>
      </c>
      <c r="AJ17" s="21">
        <v>0.28699999999999998</v>
      </c>
      <c r="AK17" s="19">
        <f t="shared" si="9"/>
        <v>4.9141345399999994E-2</v>
      </c>
      <c r="AL17" s="19">
        <f t="shared" si="10"/>
        <v>10.19617849730178</v>
      </c>
      <c r="AM17" s="19">
        <f t="shared" si="11"/>
        <v>254.89737609015492</v>
      </c>
      <c r="AN17" s="19">
        <f t="shared" si="1"/>
        <v>207.48675914969519</v>
      </c>
      <c r="AO17" s="19">
        <f t="shared" si="12"/>
        <v>0.22840649220835205</v>
      </c>
      <c r="AP17" s="19">
        <f t="shared" si="2"/>
        <v>254.89737609015492</v>
      </c>
      <c r="AQ17" s="35"/>
      <c r="AS17" s="10"/>
      <c r="AT17" s="10"/>
      <c r="AU17" s="10"/>
      <c r="AV17" s="48"/>
      <c r="AW17" s="10"/>
    </row>
    <row r="18" spans="2:49" x14ac:dyDescent="0.25">
      <c r="B18" s="3" t="s">
        <v>243</v>
      </c>
      <c r="C18" s="5">
        <v>15</v>
      </c>
      <c r="D18" s="2">
        <v>13</v>
      </c>
      <c r="E18" s="2">
        <v>13</v>
      </c>
      <c r="F18" s="2">
        <v>13</v>
      </c>
      <c r="G18" s="2">
        <v>20</v>
      </c>
      <c r="H18" s="2">
        <v>4.3</v>
      </c>
      <c r="I18" s="2">
        <v>1</v>
      </c>
      <c r="J18" s="2">
        <v>0</v>
      </c>
      <c r="K18" s="2">
        <v>0.8</v>
      </c>
      <c r="L18" s="2">
        <v>0</v>
      </c>
      <c r="M18" s="2">
        <v>0</v>
      </c>
      <c r="N18" s="2">
        <v>37</v>
      </c>
      <c r="O18" s="2">
        <v>200</v>
      </c>
      <c r="P18" s="45">
        <v>0.39930555555555558</v>
      </c>
      <c r="Q18" s="10"/>
      <c r="R18" s="41"/>
      <c r="S18" s="30">
        <f t="shared" si="3"/>
        <v>12.326000000000001</v>
      </c>
      <c r="T18" s="30">
        <v>12</v>
      </c>
      <c r="U18" s="30">
        <f t="shared" si="4"/>
        <v>0.20000000000000284</v>
      </c>
      <c r="V18" s="30">
        <f t="shared" si="13"/>
        <v>0.19169779991698072</v>
      </c>
      <c r="W18" s="30">
        <f t="shared" si="5"/>
        <v>8.3022000830221265E-3</v>
      </c>
      <c r="X18" s="30">
        <f>V18+V17+V16+V15+V14+V13+V12+V11+V10+V9+V8+V7+V6</f>
        <v>6.4218762972187662</v>
      </c>
      <c r="Y18" s="30">
        <f t="shared" si="14"/>
        <v>2.1381237027812343</v>
      </c>
      <c r="Z18" s="30">
        <f t="shared" si="6"/>
        <v>12.334302200083023</v>
      </c>
      <c r="AA18" s="31">
        <f t="shared" si="7"/>
        <v>0.17334776366731491</v>
      </c>
      <c r="AC18" s="18"/>
      <c r="AD18" s="18"/>
      <c r="AE18" s="26" t="s">
        <v>310</v>
      </c>
      <c r="AF18" s="27">
        <v>1840</v>
      </c>
      <c r="AG18" s="19">
        <v>8</v>
      </c>
      <c r="AH18" s="19">
        <f t="shared" si="8"/>
        <v>0</v>
      </c>
      <c r="AI18" s="19">
        <f t="shared" si="0"/>
        <v>76</v>
      </c>
      <c r="AJ18" s="21">
        <v>0.28699999999999998</v>
      </c>
      <c r="AK18" s="19">
        <f t="shared" si="9"/>
        <v>4.9141345399999994E-2</v>
      </c>
      <c r="AL18" s="19">
        <f t="shared" si="10"/>
        <v>10.187876297218757</v>
      </c>
      <c r="AM18" s="19">
        <f t="shared" si="11"/>
        <v>250.82748344940515</v>
      </c>
      <c r="AN18" s="19">
        <f t="shared" si="1"/>
        <v>207.31781383459554</v>
      </c>
      <c r="AO18" s="19">
        <f t="shared" si="12"/>
        <v>0.209698535911964</v>
      </c>
      <c r="AP18" s="19">
        <f t="shared" si="2"/>
        <v>250.82748344940515</v>
      </c>
      <c r="AQ18" s="35"/>
      <c r="AS18" s="10"/>
      <c r="AT18" s="10"/>
      <c r="AU18" s="10"/>
      <c r="AV18" s="48"/>
      <c r="AW18" s="10"/>
    </row>
    <row r="19" spans="2:49" x14ac:dyDescent="0.25">
      <c r="B19" s="47"/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54"/>
      <c r="Q19" s="10"/>
      <c r="R19" s="41"/>
      <c r="S19" s="30"/>
      <c r="T19" s="30"/>
      <c r="U19" s="30"/>
      <c r="V19" s="30"/>
      <c r="W19" s="30"/>
      <c r="X19" s="30"/>
      <c r="Y19" s="30"/>
      <c r="Z19" s="30"/>
      <c r="AA19" s="31"/>
      <c r="AC19" s="18"/>
      <c r="AD19" s="18"/>
      <c r="AG19" s="19"/>
      <c r="AH19" s="19"/>
      <c r="AI19" s="19"/>
      <c r="AJ19" s="21"/>
      <c r="AK19" s="19"/>
      <c r="AL19" s="19"/>
      <c r="AM19" s="19"/>
      <c r="AN19" s="19"/>
      <c r="AO19" s="19"/>
      <c r="AP19" s="19"/>
      <c r="AQ19" s="35"/>
      <c r="AS19" s="48"/>
      <c r="AT19" s="48"/>
      <c r="AU19" s="48"/>
      <c r="AV19" s="48"/>
      <c r="AW19" s="10"/>
    </row>
    <row r="20" spans="2:49" x14ac:dyDescent="0.25">
      <c r="B20" s="47"/>
      <c r="C20" s="47"/>
      <c r="D20" s="53"/>
      <c r="E20" s="53"/>
      <c r="F20" s="53"/>
      <c r="G20" s="48"/>
      <c r="H20" s="48"/>
      <c r="I20" s="48"/>
      <c r="J20" s="48"/>
      <c r="K20" s="48"/>
      <c r="L20" s="48"/>
      <c r="M20" s="48"/>
      <c r="N20" s="53"/>
      <c r="O20" s="48"/>
      <c r="P20" s="54"/>
      <c r="Q20" s="39"/>
      <c r="R20" s="41"/>
      <c r="S20" s="30"/>
      <c r="T20" s="30"/>
      <c r="U20" s="30"/>
      <c r="V20" s="30"/>
      <c r="W20" s="30"/>
      <c r="X20" s="30"/>
      <c r="Y20" s="30"/>
      <c r="Z20" s="30"/>
      <c r="AA20" s="31"/>
      <c r="AG20" s="19"/>
      <c r="AH20" s="19"/>
      <c r="AI20" s="19"/>
      <c r="AJ20" s="21"/>
      <c r="AK20" s="19"/>
      <c r="AL20" s="19"/>
      <c r="AM20" s="19"/>
      <c r="AN20" s="19"/>
      <c r="AO20" s="19"/>
      <c r="AP20" s="19"/>
      <c r="AQ20" s="35"/>
      <c r="AS20" s="53"/>
      <c r="AT20" s="53"/>
      <c r="AU20" s="53"/>
      <c r="AV20" s="10"/>
      <c r="AW20" s="10"/>
    </row>
    <row r="21" spans="2:49" x14ac:dyDescent="0.25">
      <c r="B21" s="47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50"/>
      <c r="Q21" s="10"/>
      <c r="R21" s="42"/>
      <c r="S21" s="30"/>
      <c r="T21" s="30"/>
      <c r="U21" s="30"/>
      <c r="V21" s="30"/>
      <c r="W21" s="30"/>
      <c r="X21" s="30"/>
      <c r="Y21" s="30"/>
      <c r="Z21" s="30"/>
      <c r="AA21" s="31"/>
      <c r="AG21" s="19"/>
      <c r="AH21" s="19"/>
      <c r="AI21" s="19"/>
      <c r="AJ21" s="21"/>
      <c r="AK21" s="19"/>
      <c r="AL21" s="19"/>
      <c r="AM21" s="19"/>
      <c r="AN21" s="19"/>
      <c r="AO21" s="19"/>
      <c r="AP21" s="19"/>
      <c r="AQ21" s="35"/>
      <c r="AS21" s="48"/>
      <c r="AT21" s="48"/>
      <c r="AU21" s="48"/>
      <c r="AV21" s="10"/>
    </row>
    <row r="22" spans="2:49" x14ac:dyDescent="0.25">
      <c r="B22" s="63" t="s">
        <v>303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10"/>
      <c r="R22" s="42"/>
      <c r="S22" s="11" t="s">
        <v>305</v>
      </c>
      <c r="T22" s="11"/>
      <c r="U22" s="11"/>
      <c r="V22" s="11"/>
      <c r="W22" s="11"/>
      <c r="X22" s="11"/>
      <c r="Y22" s="11"/>
      <c r="Z22" s="11"/>
      <c r="AA22" s="11"/>
      <c r="AG22" s="63" t="s">
        <v>305</v>
      </c>
      <c r="AH22" s="63"/>
      <c r="AI22" s="63"/>
      <c r="AJ22" s="63"/>
      <c r="AK22" s="63"/>
      <c r="AL22" s="63"/>
      <c r="AM22" s="63"/>
      <c r="AN22" s="63"/>
      <c r="AO22" s="63"/>
      <c r="AP22" s="63"/>
      <c r="AQ22" s="35"/>
      <c r="AT22" s="10"/>
      <c r="AU22" s="10"/>
      <c r="AV22" s="10"/>
    </row>
    <row r="23" spans="2:49" x14ac:dyDescent="0.25">
      <c r="Q23" s="10"/>
      <c r="R23" s="42"/>
      <c r="AQ23" s="35"/>
      <c r="AT23" s="10"/>
      <c r="AU23" s="10"/>
      <c r="AV23" s="10"/>
    </row>
    <row r="24" spans="2:49" x14ac:dyDescent="0.25">
      <c r="B24" s="39"/>
      <c r="C24" s="3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42"/>
      <c r="Q24" s="10"/>
      <c r="R24" s="42"/>
      <c r="S24" t="s">
        <v>313</v>
      </c>
      <c r="X24" s="8">
        <v>8.56</v>
      </c>
      <c r="Y24" s="30"/>
      <c r="Z24" s="30"/>
      <c r="AA24" s="31"/>
      <c r="AG24" s="19"/>
      <c r="AH24" s="19"/>
      <c r="AI24" s="19"/>
      <c r="AJ24" s="21"/>
      <c r="AK24" s="19"/>
      <c r="AL24" s="19"/>
      <c r="AM24" s="19"/>
      <c r="AN24" s="19"/>
      <c r="AO24" s="19"/>
      <c r="AP24" s="19"/>
      <c r="AQ24" s="35"/>
      <c r="AT24" s="10"/>
      <c r="AU24" s="10"/>
      <c r="AV24" s="10"/>
    </row>
    <row r="25" spans="2:49" x14ac:dyDescent="0.25">
      <c r="B25" s="39"/>
      <c r="C25" s="3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42"/>
      <c r="Q25" s="10"/>
      <c r="R25" s="42"/>
      <c r="S25" t="s">
        <v>312</v>
      </c>
      <c r="X25" s="8">
        <v>2.1269999999999998</v>
      </c>
      <c r="Y25" s="30"/>
      <c r="Z25" s="30"/>
      <c r="AA25" s="31"/>
      <c r="AG25" s="19"/>
      <c r="AH25" s="19"/>
      <c r="AI25" s="19"/>
      <c r="AJ25" s="21"/>
      <c r="AK25" s="19"/>
      <c r="AL25" s="19"/>
      <c r="AM25" s="19"/>
      <c r="AN25" s="19"/>
      <c r="AO25" s="19"/>
      <c r="AP25" s="19"/>
      <c r="AQ25" s="35"/>
      <c r="AT25" s="10"/>
      <c r="AU25" s="10"/>
      <c r="AV25" s="10"/>
    </row>
    <row r="26" spans="2:49" x14ac:dyDescent="0.25">
      <c r="B26" s="39"/>
      <c r="C26" s="3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2"/>
      <c r="Q26" s="10"/>
      <c r="R26" s="42"/>
      <c r="S26" t="s">
        <v>311</v>
      </c>
      <c r="X26" s="8">
        <f>S6-S18</f>
        <v>6.7000000000000028</v>
      </c>
      <c r="Y26" s="30"/>
      <c r="Z26" s="30"/>
      <c r="AA26" s="31"/>
      <c r="AG26" s="19"/>
      <c r="AH26" s="19"/>
      <c r="AI26" s="19"/>
      <c r="AJ26" s="21"/>
      <c r="AK26" s="19"/>
      <c r="AL26" s="19"/>
      <c r="AM26" s="19"/>
      <c r="AN26" s="19"/>
      <c r="AO26" s="19"/>
      <c r="AP26" s="19"/>
      <c r="AQ26" s="35"/>
      <c r="AT26" s="10"/>
      <c r="AU26" s="10"/>
      <c r="AV26" s="10"/>
    </row>
    <row r="27" spans="2:49" x14ac:dyDescent="0.25">
      <c r="B27" s="39"/>
      <c r="C27" s="3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42"/>
      <c r="S27" t="s">
        <v>314</v>
      </c>
      <c r="X27" s="8">
        <f>X24-X25</f>
        <v>6.4330000000000007</v>
      </c>
      <c r="Y27" s="30"/>
      <c r="Z27" s="30"/>
      <c r="AA27" s="31"/>
      <c r="AG27" s="19"/>
      <c r="AH27" s="19"/>
      <c r="AI27" s="19"/>
      <c r="AJ27" s="21"/>
      <c r="AK27" s="19"/>
      <c r="AL27" s="19"/>
      <c r="AM27" s="19"/>
      <c r="AN27" s="19"/>
      <c r="AO27" s="19"/>
      <c r="AP27" s="19"/>
      <c r="AQ27" s="35"/>
      <c r="AT27" s="10"/>
      <c r="AU27" s="10"/>
      <c r="AV27" s="10"/>
    </row>
    <row r="28" spans="2:49" x14ac:dyDescent="0.25">
      <c r="S28" t="s">
        <v>315</v>
      </c>
      <c r="X28" s="8">
        <f>X26-X27</f>
        <v>0.26700000000000212</v>
      </c>
      <c r="AQ28" s="35"/>
    </row>
    <row r="29" spans="2:49" x14ac:dyDescent="0.25">
      <c r="AQ29" s="35"/>
    </row>
    <row r="30" spans="2:49" x14ac:dyDescent="0.25">
      <c r="S30" t="s">
        <v>316</v>
      </c>
      <c r="X30" s="29">
        <f>X27/X28</f>
        <v>24.093632958801308</v>
      </c>
      <c r="AQ30" s="35"/>
    </row>
    <row r="31" spans="2:49" x14ac:dyDescent="0.25">
      <c r="AQ31" s="35"/>
    </row>
    <row r="32" spans="2:49" x14ac:dyDescent="0.25">
      <c r="AQ32" s="35"/>
    </row>
    <row r="33" spans="1:43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4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8"/>
    </row>
    <row r="35" spans="1:43" x14ac:dyDescent="0.25">
      <c r="Y35" s="18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10" spans="46:46" x14ac:dyDescent="0.25">
      <c r="AT410" s="7"/>
    </row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54" spans="46:46" x14ac:dyDescent="0.25">
      <c r="AT554" s="7"/>
    </row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84" spans="46:46" x14ac:dyDescent="0.25">
      <c r="AT684" s="7"/>
    </row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</sheetData>
  <mergeCells count="2">
    <mergeCell ref="B22:P22"/>
    <mergeCell ref="AG22:AP2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02639-68CF-4379-AABF-19632DC842E1}">
  <dimension ref="A1:AW1314"/>
  <sheetViews>
    <sheetView zoomScale="40" zoomScaleNormal="40" workbookViewId="0">
      <selection activeCell="N54" sqref="N54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4.710937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</cols>
  <sheetData>
    <row r="1" spans="2:49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9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9" x14ac:dyDescent="0.25">
      <c r="L3" s="9"/>
      <c r="M3" s="10"/>
      <c r="AQ3" s="35"/>
    </row>
    <row r="4" spans="2:49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380</v>
      </c>
      <c r="W4" s="17" t="s">
        <v>381</v>
      </c>
      <c r="X4" s="17" t="s">
        <v>382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9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9" x14ac:dyDescent="0.25">
      <c r="B6" s="3" t="s">
        <v>244</v>
      </c>
      <c r="C6" s="5">
        <v>18.600000000000001</v>
      </c>
      <c r="D6" s="2">
        <v>5</v>
      </c>
      <c r="E6" s="2">
        <v>5</v>
      </c>
      <c r="F6" s="2">
        <v>5</v>
      </c>
      <c r="G6" s="2">
        <v>20</v>
      </c>
      <c r="H6" s="2">
        <v>0.1</v>
      </c>
      <c r="I6" s="2">
        <v>0</v>
      </c>
      <c r="J6" s="2">
        <v>0</v>
      </c>
      <c r="K6" s="2">
        <v>20.9</v>
      </c>
      <c r="L6" s="2">
        <v>0</v>
      </c>
      <c r="M6" s="2">
        <v>0</v>
      </c>
      <c r="N6" s="2">
        <v>36.1</v>
      </c>
      <c r="O6" s="2">
        <v>0</v>
      </c>
      <c r="P6" s="45">
        <v>0.43194444444444446</v>
      </c>
      <c r="Q6" s="10"/>
      <c r="R6" s="41"/>
      <c r="S6" s="30">
        <f>N6-25.234</f>
        <v>10.866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4.9000000000000004</v>
      </c>
      <c r="Z6" s="30">
        <f>S6-V6</f>
        <v>10.866</v>
      </c>
      <c r="AA6" s="31">
        <f>Y6/Z6</f>
        <v>0.45094791091478009</v>
      </c>
      <c r="AC6" s="18"/>
      <c r="AD6" s="18">
        <v>1000</v>
      </c>
      <c r="AE6" s="22" t="s">
        <v>309</v>
      </c>
      <c r="AF6" s="23">
        <v>1520</v>
      </c>
      <c r="AG6" s="19">
        <v>0</v>
      </c>
      <c r="AH6" s="19">
        <v>0</v>
      </c>
      <c r="AI6" s="19">
        <f t="shared" ref="AI6:AI18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5.9859999999999998</v>
      </c>
      <c r="AM6" s="19">
        <f>S6/AK6</f>
        <v>221.11726717193218</v>
      </c>
      <c r="AN6" s="19">
        <f t="shared" ref="AN6:AN18" si="1">AL6/AK6</f>
        <v>121.81188673763907</v>
      </c>
      <c r="AO6" s="19">
        <f>(AA6/(1-AA6))</f>
        <v>0.82132081796848821</v>
      </c>
      <c r="AP6" s="19">
        <f t="shared" ref="AP6:AP18" si="2">AM6/(1+AQ6)</f>
        <v>221.11726717193218</v>
      </c>
      <c r="AQ6" s="35"/>
      <c r="AS6" s="10"/>
      <c r="AT6" s="10"/>
      <c r="AU6" s="10"/>
      <c r="AV6" s="48"/>
      <c r="AW6" s="10"/>
    </row>
    <row r="7" spans="2:49" x14ac:dyDescent="0.25">
      <c r="B7" s="3" t="s">
        <v>245</v>
      </c>
      <c r="C7" s="5">
        <v>41.9</v>
      </c>
      <c r="D7" s="2">
        <v>6</v>
      </c>
      <c r="E7" s="2">
        <v>6</v>
      </c>
      <c r="F7" s="2">
        <v>6</v>
      </c>
      <c r="G7" s="2">
        <v>20</v>
      </c>
      <c r="H7" s="2">
        <v>72.900000000000006</v>
      </c>
      <c r="I7" s="2">
        <v>1</v>
      </c>
      <c r="J7" s="2">
        <v>0</v>
      </c>
      <c r="K7" s="2">
        <v>0.8</v>
      </c>
      <c r="L7" s="2">
        <v>0</v>
      </c>
      <c r="M7" s="2">
        <v>0</v>
      </c>
      <c r="N7" s="2">
        <v>35.6</v>
      </c>
      <c r="O7" s="2">
        <v>500</v>
      </c>
      <c r="P7" s="45">
        <v>0.34166666666666667</v>
      </c>
      <c r="Q7" s="10"/>
      <c r="R7" s="41"/>
      <c r="S7" s="30">
        <f t="shared" ref="S7:S18" si="3">N7-25.234</f>
        <v>10.366</v>
      </c>
      <c r="T7" s="30">
        <v>1</v>
      </c>
      <c r="U7" s="30">
        <f t="shared" ref="U7:U18" si="4">S6-S7</f>
        <v>0.5</v>
      </c>
      <c r="V7" s="30">
        <f>U7-(U7/4.56)</f>
        <v>0.39035087719298245</v>
      </c>
      <c r="W7" s="30">
        <f t="shared" ref="W7:W18" si="5">U7-V7</f>
        <v>0.10964912280701755</v>
      </c>
      <c r="X7" s="30">
        <f>V7+V6</f>
        <v>0.39035087719298245</v>
      </c>
      <c r="Y7" s="30">
        <f>4.9-X7</f>
        <v>4.5096491228070175</v>
      </c>
      <c r="Z7" s="30">
        <f t="shared" ref="Z7:Z18" si="6">S6-V7</f>
        <v>10.475649122807017</v>
      </c>
      <c r="AA7" s="31">
        <f t="shared" ref="AA7:AA18" si="7">Y7/Z7</f>
        <v>0.43048875252883884</v>
      </c>
      <c r="AC7" s="18"/>
      <c r="AD7" s="18"/>
      <c r="AE7" s="24"/>
      <c r="AF7" s="25"/>
      <c r="AG7" s="19">
        <v>1</v>
      </c>
      <c r="AH7" s="19">
        <f t="shared" ref="AH7:AH18" si="8">AG7-AG6</f>
        <v>1</v>
      </c>
      <c r="AI7" s="19">
        <f t="shared" si="0"/>
        <v>75</v>
      </c>
      <c r="AJ7" s="21">
        <v>0.28699999999999998</v>
      </c>
      <c r="AK7" s="19">
        <f t="shared" ref="AK7:AK18" si="9">((($AJ$6*$AJ$6)*3.14)/4)*(AI7/100)</f>
        <v>4.8494748749999997E-2</v>
      </c>
      <c r="AL7" s="19">
        <f t="shared" ref="AL7:AL18" si="10">AL6-W7</f>
        <v>5.8763508771929818</v>
      </c>
      <c r="AM7" s="19">
        <f t="shared" ref="AM7:AM18" si="11">S7/AK7</f>
        <v>213.75510271099199</v>
      </c>
      <c r="AN7" s="19">
        <f t="shared" si="1"/>
        <v>121.17499376039106</v>
      </c>
      <c r="AO7" s="19">
        <f t="shared" ref="AO7:AO18" si="12">(AA7/(1-AA7))</f>
        <v>0.75589157271321117</v>
      </c>
      <c r="AP7" s="19">
        <f t="shared" si="2"/>
        <v>213.75510271099199</v>
      </c>
      <c r="AQ7" s="35"/>
      <c r="AS7" s="10"/>
      <c r="AT7" s="10"/>
      <c r="AU7" s="10"/>
      <c r="AV7" s="48"/>
      <c r="AW7" s="10"/>
    </row>
    <row r="8" spans="2:49" x14ac:dyDescent="0.25">
      <c r="B8" s="3" t="s">
        <v>246</v>
      </c>
      <c r="C8" s="5">
        <v>34.5</v>
      </c>
      <c r="D8" s="2">
        <v>8</v>
      </c>
      <c r="E8" s="2">
        <v>8</v>
      </c>
      <c r="F8" s="2">
        <v>8</v>
      </c>
      <c r="G8" s="2">
        <v>20</v>
      </c>
      <c r="H8" s="2">
        <v>44.3</v>
      </c>
      <c r="I8" s="2">
        <v>2</v>
      </c>
      <c r="J8" s="2">
        <v>0</v>
      </c>
      <c r="K8" s="2">
        <v>0.8</v>
      </c>
      <c r="L8" s="2">
        <v>0</v>
      </c>
      <c r="M8" s="2">
        <v>0</v>
      </c>
      <c r="N8" s="2">
        <v>34.5</v>
      </c>
      <c r="O8" s="2">
        <v>1100</v>
      </c>
      <c r="P8" s="45">
        <v>0.33055555555555555</v>
      </c>
      <c r="Q8" s="10"/>
      <c r="R8" s="41"/>
      <c r="S8" s="30">
        <f t="shared" si="3"/>
        <v>9.2659999999999982</v>
      </c>
      <c r="T8" s="30">
        <v>2</v>
      </c>
      <c r="U8" s="30">
        <f t="shared" si="4"/>
        <v>1.1000000000000014</v>
      </c>
      <c r="V8" s="30">
        <f t="shared" ref="V8:V18" si="13">U8-(U8/4.56)</f>
        <v>0.85877192982456252</v>
      </c>
      <c r="W8" s="30">
        <f t="shared" si="5"/>
        <v>0.2412280701754389</v>
      </c>
      <c r="X8" s="30">
        <f>V7+V8+V6</f>
        <v>1.2491228070175451</v>
      </c>
      <c r="Y8" s="30">
        <f t="shared" ref="Y8:Y18" si="14">4.9-X8</f>
        <v>3.6508771929824553</v>
      </c>
      <c r="Z8" s="30">
        <f t="shared" si="6"/>
        <v>9.5072280701754366</v>
      </c>
      <c r="AA8" s="31">
        <f t="shared" si="7"/>
        <v>0.38401068808219785</v>
      </c>
      <c r="AC8" s="18"/>
      <c r="AD8" s="18"/>
      <c r="AE8" s="24"/>
      <c r="AF8" s="25"/>
      <c r="AG8" s="19">
        <v>3</v>
      </c>
      <c r="AH8" s="19">
        <f t="shared" si="8"/>
        <v>2</v>
      </c>
      <c r="AI8" s="19">
        <f t="shared" si="0"/>
        <v>74</v>
      </c>
      <c r="AJ8" s="21">
        <v>0.28699999999999998</v>
      </c>
      <c r="AK8" s="19">
        <f t="shared" si="9"/>
        <v>4.7848152099999992E-2</v>
      </c>
      <c r="AL8" s="19">
        <f t="shared" si="10"/>
        <v>5.6351228070175425</v>
      </c>
      <c r="AM8" s="19">
        <f t="shared" si="11"/>
        <v>193.65429161474347</v>
      </c>
      <c r="AN8" s="19">
        <f t="shared" si="1"/>
        <v>117.77095999946764</v>
      </c>
      <c r="AO8" s="19">
        <f t="shared" si="12"/>
        <v>0.62340479072052535</v>
      </c>
      <c r="AP8" s="19">
        <f t="shared" si="2"/>
        <v>193.65429161474347</v>
      </c>
      <c r="AQ8" s="35"/>
      <c r="AS8" s="10"/>
      <c r="AT8" s="10"/>
      <c r="AU8" s="10"/>
      <c r="AV8" s="48"/>
      <c r="AW8" s="10"/>
    </row>
    <row r="9" spans="2:49" x14ac:dyDescent="0.25">
      <c r="B9" s="3" t="s">
        <v>247</v>
      </c>
      <c r="C9" s="5">
        <v>24.4</v>
      </c>
      <c r="D9" s="2">
        <v>9</v>
      </c>
      <c r="E9" s="2">
        <v>9</v>
      </c>
      <c r="F9" s="2">
        <v>9</v>
      </c>
      <c r="G9" s="2">
        <v>20</v>
      </c>
      <c r="H9" s="2">
        <v>8.6</v>
      </c>
      <c r="I9" s="2">
        <v>1</v>
      </c>
      <c r="J9" s="2">
        <v>0</v>
      </c>
      <c r="K9" s="2">
        <v>0.8</v>
      </c>
      <c r="L9" s="2">
        <v>0</v>
      </c>
      <c r="M9" s="2">
        <v>0</v>
      </c>
      <c r="N9" s="2">
        <v>34</v>
      </c>
      <c r="O9" s="2">
        <v>500</v>
      </c>
      <c r="P9" s="45">
        <v>0.31944444444444442</v>
      </c>
      <c r="Q9" s="10"/>
      <c r="R9" s="41"/>
      <c r="S9" s="30">
        <f t="shared" si="3"/>
        <v>8.7659999999999982</v>
      </c>
      <c r="T9" s="30">
        <v>3</v>
      </c>
      <c r="U9" s="30">
        <f t="shared" si="4"/>
        <v>0.5</v>
      </c>
      <c r="V9" s="30">
        <f t="shared" si="13"/>
        <v>0.39035087719298245</v>
      </c>
      <c r="W9" s="30">
        <f t="shared" si="5"/>
        <v>0.10964912280701755</v>
      </c>
      <c r="X9" s="30">
        <f>V9+V8+V7+V6</f>
        <v>1.6394736842105275</v>
      </c>
      <c r="Y9" s="30">
        <f t="shared" si="14"/>
        <v>3.2605263157894728</v>
      </c>
      <c r="Z9" s="30">
        <f t="shared" si="6"/>
        <v>8.8756491228070153</v>
      </c>
      <c r="AA9" s="31">
        <f t="shared" si="7"/>
        <v>0.36735637818434824</v>
      </c>
      <c r="AC9" s="18"/>
      <c r="AD9" s="18"/>
      <c r="AE9" s="24"/>
      <c r="AF9" s="25"/>
      <c r="AG9" s="19">
        <v>4</v>
      </c>
      <c r="AH9" s="19">
        <f t="shared" si="8"/>
        <v>1</v>
      </c>
      <c r="AI9" s="19">
        <f t="shared" si="0"/>
        <v>75</v>
      </c>
      <c r="AJ9" s="21">
        <v>0.28699999999999998</v>
      </c>
      <c r="AK9" s="19">
        <f t="shared" si="9"/>
        <v>4.8494748749999997E-2</v>
      </c>
      <c r="AL9" s="19">
        <f t="shared" si="10"/>
        <v>5.5254736842105245</v>
      </c>
      <c r="AM9" s="19">
        <f t="shared" si="11"/>
        <v>180.76183970331425</v>
      </c>
      <c r="AN9" s="19">
        <f t="shared" si="1"/>
        <v>113.93962906572487</v>
      </c>
      <c r="AO9" s="19">
        <f t="shared" si="12"/>
        <v>0.58066874543057279</v>
      </c>
      <c r="AP9" s="19">
        <f t="shared" si="2"/>
        <v>180.76183970331425</v>
      </c>
      <c r="AQ9" s="35"/>
      <c r="AS9" s="10"/>
      <c r="AT9" s="10"/>
      <c r="AU9" s="10"/>
      <c r="AV9" s="48"/>
      <c r="AW9" s="10"/>
    </row>
    <row r="10" spans="2:49" x14ac:dyDescent="0.25">
      <c r="B10" s="3" t="s">
        <v>248</v>
      </c>
      <c r="C10" s="5">
        <v>33.299999999999997</v>
      </c>
      <c r="D10" s="2">
        <v>9</v>
      </c>
      <c r="E10" s="2">
        <v>9</v>
      </c>
      <c r="F10" s="2">
        <v>9</v>
      </c>
      <c r="G10" s="2">
        <v>20</v>
      </c>
      <c r="H10" s="2">
        <v>19.2</v>
      </c>
      <c r="I10" s="2">
        <v>1</v>
      </c>
      <c r="J10" s="2">
        <v>0</v>
      </c>
      <c r="K10" s="2">
        <v>0.8</v>
      </c>
      <c r="L10" s="2">
        <v>0</v>
      </c>
      <c r="M10" s="2">
        <v>0</v>
      </c>
      <c r="N10" s="2">
        <v>33.6</v>
      </c>
      <c r="O10" s="2">
        <v>400</v>
      </c>
      <c r="P10" s="45">
        <v>0.31666666666666665</v>
      </c>
      <c r="Q10" s="10"/>
      <c r="R10" s="41"/>
      <c r="S10" s="30">
        <f t="shared" si="3"/>
        <v>8.3659999999999997</v>
      </c>
      <c r="T10" s="30">
        <v>4</v>
      </c>
      <c r="U10" s="30">
        <f t="shared" si="4"/>
        <v>0.39999999999999858</v>
      </c>
      <c r="V10" s="30">
        <f t="shared" si="13"/>
        <v>0.31228070175438483</v>
      </c>
      <c r="W10" s="30">
        <f t="shared" si="5"/>
        <v>8.7719298245613753E-2</v>
      </c>
      <c r="X10" s="30">
        <f>V10+V9+V8+V7+V6</f>
        <v>1.9517543859649122</v>
      </c>
      <c r="Y10" s="30">
        <f t="shared" si="14"/>
        <v>2.9482456140350881</v>
      </c>
      <c r="Z10" s="30">
        <f t="shared" si="6"/>
        <v>8.4537192982456126</v>
      </c>
      <c r="AA10" s="31">
        <f t="shared" si="7"/>
        <v>0.34875130224006051</v>
      </c>
      <c r="AC10" s="18"/>
      <c r="AD10" s="18"/>
      <c r="AE10" s="24"/>
      <c r="AF10" s="25"/>
      <c r="AG10" s="19">
        <v>4</v>
      </c>
      <c r="AH10" s="19">
        <f t="shared" si="8"/>
        <v>0</v>
      </c>
      <c r="AI10" s="19">
        <f t="shared" si="0"/>
        <v>76</v>
      </c>
      <c r="AJ10" s="21">
        <v>0.28699999999999998</v>
      </c>
      <c r="AK10" s="19">
        <f t="shared" si="9"/>
        <v>4.9141345399999994E-2</v>
      </c>
      <c r="AL10" s="19">
        <f t="shared" si="10"/>
        <v>5.4377543859649107</v>
      </c>
      <c r="AM10" s="19">
        <f t="shared" si="11"/>
        <v>170.24360916256072</v>
      </c>
      <c r="AN10" s="19">
        <f t="shared" si="1"/>
        <v>110.65538278821546</v>
      </c>
      <c r="AO10" s="19">
        <f t="shared" si="12"/>
        <v>0.53551170764661671</v>
      </c>
      <c r="AP10" s="19">
        <f t="shared" si="2"/>
        <v>170.24360916256072</v>
      </c>
      <c r="AQ10" s="35"/>
      <c r="AS10" s="10"/>
      <c r="AT10" s="10"/>
      <c r="AU10" s="10"/>
      <c r="AV10" s="48"/>
      <c r="AW10" s="10"/>
    </row>
    <row r="11" spans="2:49" x14ac:dyDescent="0.25">
      <c r="B11" s="3" t="s">
        <v>249</v>
      </c>
      <c r="C11" s="5">
        <v>31.8</v>
      </c>
      <c r="D11" s="2">
        <v>9</v>
      </c>
      <c r="E11" s="2">
        <v>9</v>
      </c>
      <c r="F11" s="2">
        <v>9</v>
      </c>
      <c r="G11" s="2">
        <v>20</v>
      </c>
      <c r="H11" s="2">
        <v>10.6</v>
      </c>
      <c r="I11" s="2">
        <v>1</v>
      </c>
      <c r="J11" s="2">
        <v>0</v>
      </c>
      <c r="K11" s="2">
        <v>0.8</v>
      </c>
      <c r="L11" s="2">
        <v>0</v>
      </c>
      <c r="M11" s="2">
        <v>0</v>
      </c>
      <c r="N11" s="2">
        <v>33.200000000000003</v>
      </c>
      <c r="O11" s="2">
        <v>400</v>
      </c>
      <c r="P11" s="45">
        <v>0.32916666666666666</v>
      </c>
      <c r="Q11" s="10"/>
      <c r="R11" s="41"/>
      <c r="S11" s="30">
        <f t="shared" si="3"/>
        <v>7.9660000000000011</v>
      </c>
      <c r="T11" s="30">
        <v>5</v>
      </c>
      <c r="U11" s="30">
        <f t="shared" si="4"/>
        <v>0.39999999999999858</v>
      </c>
      <c r="V11" s="30">
        <f t="shared" si="13"/>
        <v>0.31228070175438483</v>
      </c>
      <c r="W11" s="30">
        <f t="shared" si="5"/>
        <v>8.7719298245613753E-2</v>
      </c>
      <c r="X11" s="30">
        <f>V11+V10+V9+V8+V7+V6</f>
        <v>2.264035087719297</v>
      </c>
      <c r="Y11" s="30">
        <f t="shared" si="14"/>
        <v>2.6359649122807034</v>
      </c>
      <c r="Z11" s="30">
        <f t="shared" si="6"/>
        <v>8.0537192982456141</v>
      </c>
      <c r="AA11" s="31">
        <f t="shared" si="7"/>
        <v>0.32729783776483373</v>
      </c>
      <c r="AC11" s="18"/>
      <c r="AD11" s="18"/>
      <c r="AE11" s="24"/>
      <c r="AF11" s="25"/>
      <c r="AG11" s="19">
        <v>4</v>
      </c>
      <c r="AH11" s="19">
        <f t="shared" si="8"/>
        <v>0</v>
      </c>
      <c r="AI11" s="19">
        <f t="shared" si="0"/>
        <v>76</v>
      </c>
      <c r="AJ11" s="21">
        <v>0.28699999999999998</v>
      </c>
      <c r="AK11" s="19">
        <f t="shared" si="9"/>
        <v>4.9141345399999994E-2</v>
      </c>
      <c r="AL11" s="19">
        <f t="shared" si="10"/>
        <v>5.3500350877192968</v>
      </c>
      <c r="AM11" s="19">
        <f t="shared" si="11"/>
        <v>162.10382388106132</v>
      </c>
      <c r="AN11" s="19">
        <f t="shared" si="1"/>
        <v>108.8703421563077</v>
      </c>
      <c r="AO11" s="19">
        <f t="shared" si="12"/>
        <v>0.48654197375749692</v>
      </c>
      <c r="AP11" s="19">
        <f t="shared" si="2"/>
        <v>162.10382388106132</v>
      </c>
      <c r="AQ11" s="35"/>
      <c r="AS11" s="10"/>
      <c r="AT11" s="10"/>
      <c r="AU11" s="10"/>
      <c r="AV11" s="48"/>
      <c r="AW11" s="10"/>
    </row>
    <row r="12" spans="2:49" x14ac:dyDescent="0.25">
      <c r="B12" s="3" t="s">
        <v>250</v>
      </c>
      <c r="C12" s="5">
        <v>20.8</v>
      </c>
      <c r="D12" s="2">
        <v>9</v>
      </c>
      <c r="E12" s="2">
        <v>9</v>
      </c>
      <c r="F12" s="2">
        <v>9</v>
      </c>
      <c r="G12" s="2">
        <v>20</v>
      </c>
      <c r="H12" s="2">
        <v>5</v>
      </c>
      <c r="I12" s="2">
        <v>0</v>
      </c>
      <c r="J12" s="2">
        <v>0</v>
      </c>
      <c r="K12" s="2">
        <v>0.8</v>
      </c>
      <c r="L12" s="2">
        <v>0</v>
      </c>
      <c r="M12" s="2">
        <v>0</v>
      </c>
      <c r="N12" s="2">
        <v>32.9</v>
      </c>
      <c r="O12" s="2">
        <v>300</v>
      </c>
      <c r="P12" s="45">
        <v>0.33402777777777776</v>
      </c>
      <c r="Q12" s="10"/>
      <c r="R12" s="41"/>
      <c r="S12" s="30">
        <f t="shared" si="3"/>
        <v>7.6659999999999968</v>
      </c>
      <c r="T12" s="30">
        <v>6</v>
      </c>
      <c r="U12" s="30">
        <f t="shared" si="4"/>
        <v>0.30000000000000426</v>
      </c>
      <c r="V12" s="30">
        <f t="shared" si="13"/>
        <v>0.23421052631579281</v>
      </c>
      <c r="W12" s="30">
        <f t="shared" si="5"/>
        <v>6.5789473684211452E-2</v>
      </c>
      <c r="X12" s="30">
        <f>V12+V11+V10+V9+V8+V7+V6</f>
        <v>2.4982456140350902</v>
      </c>
      <c r="Y12" s="30">
        <f t="shared" si="14"/>
        <v>2.4017543859649102</v>
      </c>
      <c r="Z12" s="30">
        <f t="shared" si="6"/>
        <v>7.7317894736842083</v>
      </c>
      <c r="AA12" s="31">
        <f t="shared" si="7"/>
        <v>0.31063370182795097</v>
      </c>
      <c r="AC12" s="18"/>
      <c r="AD12" s="18"/>
      <c r="AE12" s="24"/>
      <c r="AF12" s="25"/>
      <c r="AG12" s="19">
        <v>4</v>
      </c>
      <c r="AH12" s="19">
        <f t="shared" si="8"/>
        <v>0</v>
      </c>
      <c r="AI12" s="19">
        <f t="shared" si="0"/>
        <v>76</v>
      </c>
      <c r="AJ12" s="21">
        <v>0.28699999999999998</v>
      </c>
      <c r="AK12" s="19">
        <f t="shared" si="9"/>
        <v>4.9141345399999994E-2</v>
      </c>
      <c r="AL12" s="19">
        <f t="shared" si="10"/>
        <v>5.2842456140350853</v>
      </c>
      <c r="AM12" s="19">
        <f t="shared" si="11"/>
        <v>155.99898491993665</v>
      </c>
      <c r="AN12" s="19">
        <f t="shared" si="1"/>
        <v>107.53156168237685</v>
      </c>
      <c r="AO12" s="19">
        <f t="shared" si="12"/>
        <v>0.45060761260253018</v>
      </c>
      <c r="AP12" s="19">
        <f t="shared" si="2"/>
        <v>155.99898491993665</v>
      </c>
      <c r="AQ12" s="35"/>
      <c r="AS12" s="10"/>
      <c r="AT12" s="10"/>
      <c r="AU12" s="10"/>
      <c r="AV12" s="48"/>
      <c r="AW12" s="10"/>
    </row>
    <row r="13" spans="2:49" x14ac:dyDescent="0.25">
      <c r="B13" s="3" t="s">
        <v>251</v>
      </c>
      <c r="C13" s="5">
        <v>19.8</v>
      </c>
      <c r="D13" s="2">
        <v>11</v>
      </c>
      <c r="E13" s="2">
        <v>11</v>
      </c>
      <c r="F13" s="2">
        <v>11</v>
      </c>
      <c r="G13" s="2">
        <v>20</v>
      </c>
      <c r="H13" s="2">
        <v>5.5</v>
      </c>
      <c r="I13" s="2">
        <v>0</v>
      </c>
      <c r="J13" s="2">
        <v>0</v>
      </c>
      <c r="K13" s="2">
        <v>0.8</v>
      </c>
      <c r="L13" s="2">
        <v>0</v>
      </c>
      <c r="M13" s="2">
        <v>0</v>
      </c>
      <c r="N13" s="2">
        <v>32.700000000000003</v>
      </c>
      <c r="O13" s="2">
        <v>200</v>
      </c>
      <c r="P13" s="45">
        <v>0.33124999999999999</v>
      </c>
      <c r="Q13" s="10"/>
      <c r="R13" s="41"/>
      <c r="S13" s="30">
        <f t="shared" si="3"/>
        <v>7.4660000000000011</v>
      </c>
      <c r="T13" s="30">
        <v>7</v>
      </c>
      <c r="U13" s="30">
        <f t="shared" si="4"/>
        <v>0.19999999999999574</v>
      </c>
      <c r="V13" s="30">
        <f t="shared" si="13"/>
        <v>0.15614035087718964</v>
      </c>
      <c r="W13" s="30">
        <f t="shared" si="5"/>
        <v>4.3859649122806099E-2</v>
      </c>
      <c r="X13" s="30">
        <f>V13+V12+V11+V10+V9+V8+V7+V6</f>
        <v>2.6543859649122794</v>
      </c>
      <c r="Y13" s="30">
        <f t="shared" si="14"/>
        <v>2.2456140350877209</v>
      </c>
      <c r="Z13" s="30">
        <f t="shared" si="6"/>
        <v>7.5098596491228076</v>
      </c>
      <c r="AA13" s="31">
        <f t="shared" si="7"/>
        <v>0.29902210427461462</v>
      </c>
      <c r="AC13" s="18"/>
      <c r="AD13" s="18"/>
      <c r="AE13" s="24"/>
      <c r="AF13" s="25"/>
      <c r="AG13" s="19">
        <v>6</v>
      </c>
      <c r="AH13" s="19">
        <f t="shared" si="8"/>
        <v>2</v>
      </c>
      <c r="AI13" s="19">
        <f t="shared" si="0"/>
        <v>74</v>
      </c>
      <c r="AJ13" s="21">
        <v>0.28699999999999998</v>
      </c>
      <c r="AK13" s="19">
        <f t="shared" si="9"/>
        <v>4.7848152099999992E-2</v>
      </c>
      <c r="AL13" s="19">
        <f t="shared" si="10"/>
        <v>5.2403859649122788</v>
      </c>
      <c r="AM13" s="19">
        <f t="shared" si="11"/>
        <v>156.03528396240827</v>
      </c>
      <c r="AN13" s="19">
        <f t="shared" si="1"/>
        <v>109.52117761956954</v>
      </c>
      <c r="AO13" s="19">
        <f t="shared" si="12"/>
        <v>0.42657850710853129</v>
      </c>
      <c r="AP13" s="19">
        <f t="shared" si="2"/>
        <v>156.03528396240827</v>
      </c>
      <c r="AQ13" s="35"/>
      <c r="AS13" s="10"/>
      <c r="AT13" s="10"/>
      <c r="AU13" s="10"/>
      <c r="AV13" s="48"/>
      <c r="AW13" s="10"/>
    </row>
    <row r="14" spans="2:49" x14ac:dyDescent="0.25">
      <c r="B14" s="3" t="s">
        <v>252</v>
      </c>
      <c r="C14" s="5">
        <v>15.7</v>
      </c>
      <c r="D14" s="2">
        <v>11</v>
      </c>
      <c r="E14" s="2">
        <v>11</v>
      </c>
      <c r="F14" s="2">
        <v>11</v>
      </c>
      <c r="G14" s="2">
        <v>20</v>
      </c>
      <c r="H14" s="2">
        <v>4.5</v>
      </c>
      <c r="I14" s="2">
        <v>1</v>
      </c>
      <c r="J14" s="2">
        <v>0</v>
      </c>
      <c r="K14" s="2">
        <v>0.7</v>
      </c>
      <c r="L14" s="2">
        <v>0</v>
      </c>
      <c r="M14" s="2">
        <v>0</v>
      </c>
      <c r="N14" s="2">
        <v>32.5</v>
      </c>
      <c r="O14" s="2">
        <v>200</v>
      </c>
      <c r="P14" s="45">
        <v>0.34236111111111112</v>
      </c>
      <c r="Q14" s="10"/>
      <c r="R14" s="41"/>
      <c r="S14" s="30">
        <f t="shared" si="3"/>
        <v>7.2659999999999982</v>
      </c>
      <c r="T14" s="30">
        <v>8</v>
      </c>
      <c r="U14" s="30">
        <f t="shared" si="4"/>
        <v>0.20000000000000284</v>
      </c>
      <c r="V14" s="30">
        <f t="shared" si="13"/>
        <v>0.15614035087719519</v>
      </c>
      <c r="W14" s="30">
        <f t="shared" si="5"/>
        <v>4.3859649122807653E-2</v>
      </c>
      <c r="X14" s="30">
        <f>V14+V13+V12+V11+V10+V9+V8+V7+V6</f>
        <v>2.8105263157894749</v>
      </c>
      <c r="Y14" s="30">
        <f t="shared" si="14"/>
        <v>2.0894736842105255</v>
      </c>
      <c r="Z14" s="30">
        <f t="shared" si="6"/>
        <v>7.3098596491228056</v>
      </c>
      <c r="AA14" s="31">
        <f t="shared" si="7"/>
        <v>0.28584320144385611</v>
      </c>
      <c r="AC14" s="18"/>
      <c r="AD14" s="18"/>
      <c r="AE14" s="24"/>
      <c r="AF14" s="25"/>
      <c r="AG14" s="19">
        <v>6</v>
      </c>
      <c r="AH14" s="19">
        <f t="shared" si="8"/>
        <v>0</v>
      </c>
      <c r="AI14" s="19">
        <f t="shared" si="0"/>
        <v>76</v>
      </c>
      <c r="AJ14" s="21">
        <v>0.28699999999999998</v>
      </c>
      <c r="AK14" s="19">
        <f t="shared" si="9"/>
        <v>4.9141345399999994E-2</v>
      </c>
      <c r="AL14" s="19">
        <f t="shared" si="10"/>
        <v>5.1965263157894714</v>
      </c>
      <c r="AM14" s="19">
        <f t="shared" si="11"/>
        <v>147.85919963843722</v>
      </c>
      <c r="AN14" s="19">
        <f t="shared" si="1"/>
        <v>105.74652105046908</v>
      </c>
      <c r="AO14" s="19">
        <f t="shared" si="12"/>
        <v>0.4002527204414541</v>
      </c>
      <c r="AP14" s="19">
        <f t="shared" si="2"/>
        <v>147.85919963843722</v>
      </c>
      <c r="AQ14" s="35"/>
      <c r="AS14" s="10"/>
      <c r="AT14" s="10"/>
      <c r="AU14" s="10"/>
      <c r="AV14" s="48"/>
      <c r="AW14" s="10"/>
    </row>
    <row r="15" spans="2:49" x14ac:dyDescent="0.25">
      <c r="B15" s="3" t="s">
        <v>253</v>
      </c>
      <c r="C15" s="5">
        <v>20.399999999999999</v>
      </c>
      <c r="D15" s="2">
        <v>11</v>
      </c>
      <c r="E15" s="2">
        <v>11</v>
      </c>
      <c r="F15" s="2">
        <v>11</v>
      </c>
      <c r="G15" s="2">
        <v>20</v>
      </c>
      <c r="H15" s="2">
        <v>5</v>
      </c>
      <c r="I15" s="2">
        <v>1</v>
      </c>
      <c r="J15" s="2">
        <v>0</v>
      </c>
      <c r="K15" s="2">
        <v>0.7</v>
      </c>
      <c r="L15" s="2">
        <v>0</v>
      </c>
      <c r="M15" s="2">
        <v>0</v>
      </c>
      <c r="N15" s="2">
        <v>32.4</v>
      </c>
      <c r="O15" s="2">
        <v>100</v>
      </c>
      <c r="P15" s="45">
        <v>0.34305555555555556</v>
      </c>
      <c r="Q15" s="10"/>
      <c r="R15" s="41"/>
      <c r="S15" s="30">
        <f t="shared" si="3"/>
        <v>7.1659999999999968</v>
      </c>
      <c r="T15" s="30">
        <v>9</v>
      </c>
      <c r="U15" s="30">
        <f t="shared" si="4"/>
        <v>0.10000000000000142</v>
      </c>
      <c r="V15" s="30">
        <f t="shared" si="13"/>
        <v>7.8070175438597594E-2</v>
      </c>
      <c r="W15" s="30">
        <f t="shared" si="5"/>
        <v>2.1929824561403827E-2</v>
      </c>
      <c r="X15" s="30">
        <f>V15+V14+V13+V12+V11+V10+V9+V8+V7+V6</f>
        <v>2.8885964912280722</v>
      </c>
      <c r="Y15" s="30">
        <f t="shared" si="14"/>
        <v>2.0114035087719282</v>
      </c>
      <c r="Z15" s="30">
        <f t="shared" si="6"/>
        <v>7.1879298245614009</v>
      </c>
      <c r="AA15" s="31">
        <f t="shared" si="7"/>
        <v>0.27983071035263785</v>
      </c>
      <c r="AC15" s="18"/>
      <c r="AD15" s="18"/>
      <c r="AE15" s="24"/>
      <c r="AF15" s="25"/>
      <c r="AG15" s="19">
        <v>6</v>
      </c>
      <c r="AH15" s="19">
        <f t="shared" si="8"/>
        <v>0</v>
      </c>
      <c r="AI15" s="19">
        <f t="shared" si="0"/>
        <v>76</v>
      </c>
      <c r="AJ15" s="21">
        <v>0.28699999999999998</v>
      </c>
      <c r="AK15" s="19">
        <f t="shared" si="9"/>
        <v>4.9141345399999994E-2</v>
      </c>
      <c r="AL15" s="19">
        <f t="shared" si="10"/>
        <v>5.1745964912280673</v>
      </c>
      <c r="AM15" s="19">
        <f t="shared" si="11"/>
        <v>145.82425331806235</v>
      </c>
      <c r="AN15" s="19">
        <f t="shared" si="1"/>
        <v>105.30026089249213</v>
      </c>
      <c r="AO15" s="19">
        <f t="shared" si="12"/>
        <v>0.38856240383377033</v>
      </c>
      <c r="AP15" s="19">
        <f t="shared" si="2"/>
        <v>145.82425331806235</v>
      </c>
      <c r="AQ15" s="35"/>
      <c r="AS15" s="10"/>
      <c r="AT15" s="10"/>
      <c r="AU15" s="10"/>
      <c r="AV15" s="48"/>
      <c r="AW15" s="10"/>
    </row>
    <row r="16" spans="2:49" x14ac:dyDescent="0.25">
      <c r="B16" s="3" t="s">
        <v>254</v>
      </c>
      <c r="C16" s="5">
        <v>21.8</v>
      </c>
      <c r="D16" s="2">
        <v>12</v>
      </c>
      <c r="E16" s="2">
        <v>12</v>
      </c>
      <c r="F16" s="2">
        <v>12</v>
      </c>
      <c r="G16" s="2">
        <v>20</v>
      </c>
      <c r="H16" s="2">
        <v>5.2</v>
      </c>
      <c r="I16" s="2">
        <v>0</v>
      </c>
      <c r="J16" s="2">
        <v>0</v>
      </c>
      <c r="K16" s="2">
        <v>0.8</v>
      </c>
      <c r="L16" s="2">
        <v>0</v>
      </c>
      <c r="M16" s="2">
        <v>0</v>
      </c>
      <c r="N16" s="2">
        <v>32.299999999999997</v>
      </c>
      <c r="O16" s="2">
        <v>100</v>
      </c>
      <c r="P16" s="45">
        <v>0.30486111111111114</v>
      </c>
      <c r="Q16" s="10"/>
      <c r="R16" s="41"/>
      <c r="S16" s="30">
        <f t="shared" si="3"/>
        <v>7.0659999999999954</v>
      </c>
      <c r="T16" s="30">
        <v>10</v>
      </c>
      <c r="U16" s="30">
        <f t="shared" si="4"/>
        <v>0.10000000000000142</v>
      </c>
      <c r="V16" s="30">
        <f t="shared" si="13"/>
        <v>7.8070175438597594E-2</v>
      </c>
      <c r="W16" s="30">
        <f t="shared" si="5"/>
        <v>2.1929824561403827E-2</v>
      </c>
      <c r="X16" s="30">
        <f>V16+V15+V14+V13+V12+V11+V10+V9+V8+V7+V6</f>
        <v>2.9666666666666699</v>
      </c>
      <c r="Y16" s="30">
        <f t="shared" si="14"/>
        <v>1.9333333333333305</v>
      </c>
      <c r="Z16" s="30">
        <f t="shared" si="6"/>
        <v>7.0879298245613995</v>
      </c>
      <c r="AA16" s="31">
        <f t="shared" si="7"/>
        <v>0.27276417532152486</v>
      </c>
      <c r="AC16" s="18"/>
      <c r="AD16" s="18"/>
      <c r="AE16" s="24"/>
      <c r="AF16" s="25"/>
      <c r="AG16" s="19">
        <v>7</v>
      </c>
      <c r="AH16" s="19">
        <f t="shared" si="8"/>
        <v>1</v>
      </c>
      <c r="AI16" s="19">
        <f t="shared" si="0"/>
        <v>75</v>
      </c>
      <c r="AJ16" s="21">
        <v>0.28699999999999998</v>
      </c>
      <c r="AK16" s="19">
        <f t="shared" si="9"/>
        <v>4.8494748749999997E-2</v>
      </c>
      <c r="AL16" s="19">
        <f t="shared" si="10"/>
        <v>5.1526666666666632</v>
      </c>
      <c r="AM16" s="19">
        <f t="shared" si="11"/>
        <v>145.70649775765662</v>
      </c>
      <c r="AN16" s="19">
        <f t="shared" si="1"/>
        <v>106.25205407764203</v>
      </c>
      <c r="AO16" s="19">
        <f t="shared" si="12"/>
        <v>0.37506977250758944</v>
      </c>
      <c r="AP16" s="19">
        <f t="shared" si="2"/>
        <v>145.70649775765662</v>
      </c>
      <c r="AQ16" s="35"/>
      <c r="AS16" s="10"/>
      <c r="AT16" s="10"/>
      <c r="AU16" s="10"/>
      <c r="AV16" s="48"/>
      <c r="AW16" s="10"/>
    </row>
    <row r="17" spans="2:49" x14ac:dyDescent="0.25">
      <c r="B17" s="6" t="s">
        <v>255</v>
      </c>
      <c r="C17" s="5">
        <v>20.3</v>
      </c>
      <c r="D17" s="2">
        <v>12</v>
      </c>
      <c r="E17" s="2">
        <v>12</v>
      </c>
      <c r="F17" s="2">
        <v>12</v>
      </c>
      <c r="G17" s="2">
        <v>20</v>
      </c>
      <c r="H17" s="2">
        <v>4.7</v>
      </c>
      <c r="I17" s="2">
        <v>0</v>
      </c>
      <c r="J17" s="2">
        <v>0</v>
      </c>
      <c r="K17" s="2">
        <v>0.8</v>
      </c>
      <c r="L17" s="2">
        <v>0</v>
      </c>
      <c r="M17" s="2">
        <v>0</v>
      </c>
      <c r="N17" s="2">
        <v>32.1</v>
      </c>
      <c r="O17" s="2">
        <v>200</v>
      </c>
      <c r="P17" s="45">
        <v>0.30138888888888887</v>
      </c>
      <c r="Q17" s="10"/>
      <c r="R17" s="41"/>
      <c r="S17" s="30">
        <f t="shared" si="3"/>
        <v>6.8659999999999997</v>
      </c>
      <c r="T17" s="30">
        <v>11</v>
      </c>
      <c r="U17" s="30">
        <f t="shared" si="4"/>
        <v>0.19999999999999574</v>
      </c>
      <c r="V17" s="30">
        <f t="shared" si="13"/>
        <v>0.15614035087718964</v>
      </c>
      <c r="W17" s="30">
        <f t="shared" si="5"/>
        <v>4.3859649122806099E-2</v>
      </c>
      <c r="X17" s="30">
        <f>V17+V16+V15+V14+V13+V12+V11+V10+V9+V8+V7+V6</f>
        <v>3.1228070175438596</v>
      </c>
      <c r="Y17" s="30">
        <f t="shared" si="14"/>
        <v>1.7771929824561408</v>
      </c>
      <c r="Z17" s="30">
        <f t="shared" si="6"/>
        <v>6.9098596491228061</v>
      </c>
      <c r="AA17" s="31">
        <f t="shared" si="7"/>
        <v>0.25719668310220339</v>
      </c>
      <c r="AC17" s="18"/>
      <c r="AD17" s="18"/>
      <c r="AE17" s="24"/>
      <c r="AF17" s="25"/>
      <c r="AG17" s="19">
        <v>7</v>
      </c>
      <c r="AH17" s="19">
        <f t="shared" si="8"/>
        <v>0</v>
      </c>
      <c r="AI17" s="19">
        <f t="shared" si="0"/>
        <v>76</v>
      </c>
      <c r="AJ17" s="21">
        <v>0.28699999999999998</v>
      </c>
      <c r="AK17" s="19">
        <f t="shared" si="9"/>
        <v>4.9141345399999994E-2</v>
      </c>
      <c r="AL17" s="19">
        <f t="shared" si="10"/>
        <v>5.1088070175438567</v>
      </c>
      <c r="AM17" s="19">
        <f t="shared" si="11"/>
        <v>139.71941435693782</v>
      </c>
      <c r="AN17" s="19">
        <f t="shared" si="1"/>
        <v>103.96148041856129</v>
      </c>
      <c r="AO17" s="19">
        <f t="shared" si="12"/>
        <v>0.34625139286715312</v>
      </c>
      <c r="AP17" s="19">
        <f t="shared" si="2"/>
        <v>139.71941435693782</v>
      </c>
      <c r="AQ17" s="35"/>
      <c r="AS17" s="10"/>
      <c r="AT17" s="10"/>
      <c r="AU17" s="10"/>
      <c r="AV17" s="48"/>
      <c r="AW17" s="10"/>
    </row>
    <row r="18" spans="2:49" x14ac:dyDescent="0.25">
      <c r="B18" s="3" t="s">
        <v>256</v>
      </c>
      <c r="C18" s="5">
        <v>18.600000000000001</v>
      </c>
      <c r="D18" s="2">
        <v>12</v>
      </c>
      <c r="E18" s="2">
        <v>12</v>
      </c>
      <c r="F18" s="2">
        <v>12</v>
      </c>
      <c r="G18" s="2">
        <v>20</v>
      </c>
      <c r="H18" s="2">
        <v>4.7</v>
      </c>
      <c r="I18" s="2">
        <v>1</v>
      </c>
      <c r="J18" s="2">
        <v>0</v>
      </c>
      <c r="K18" s="2">
        <v>0.7</v>
      </c>
      <c r="L18" s="2">
        <v>0</v>
      </c>
      <c r="M18" s="2">
        <v>0</v>
      </c>
      <c r="N18" s="2">
        <v>32</v>
      </c>
      <c r="O18" s="2">
        <v>100</v>
      </c>
      <c r="P18" s="45">
        <v>0.32291666666666669</v>
      </c>
      <c r="Q18" s="10"/>
      <c r="R18" s="41"/>
      <c r="S18" s="30">
        <f t="shared" si="3"/>
        <v>6.7659999999999982</v>
      </c>
      <c r="T18" s="30">
        <v>12</v>
      </c>
      <c r="U18" s="30">
        <f t="shared" si="4"/>
        <v>0.10000000000000142</v>
      </c>
      <c r="V18" s="30">
        <f t="shared" si="13"/>
        <v>7.8070175438597594E-2</v>
      </c>
      <c r="W18" s="30">
        <f t="shared" si="5"/>
        <v>2.1929824561403827E-2</v>
      </c>
      <c r="X18" s="30">
        <f>V18+V17+V16+V15+V14+V13+V12+V11+V10+V9+V8+V7+V6</f>
        <v>3.2008771929824573</v>
      </c>
      <c r="Y18" s="30">
        <f t="shared" si="14"/>
        <v>1.699122807017543</v>
      </c>
      <c r="Z18" s="30">
        <f t="shared" si="6"/>
        <v>6.7879298245614024</v>
      </c>
      <c r="AA18" s="31">
        <f t="shared" si="7"/>
        <v>0.25031531717806627</v>
      </c>
      <c r="AC18" s="18"/>
      <c r="AD18" s="18"/>
      <c r="AE18" s="26" t="s">
        <v>310</v>
      </c>
      <c r="AF18" s="27">
        <v>1840</v>
      </c>
      <c r="AG18" s="19">
        <v>7</v>
      </c>
      <c r="AH18" s="19">
        <f t="shared" si="8"/>
        <v>0</v>
      </c>
      <c r="AI18" s="19">
        <f t="shared" si="0"/>
        <v>76</v>
      </c>
      <c r="AJ18" s="21">
        <v>0.28699999999999998</v>
      </c>
      <c r="AK18" s="19">
        <f t="shared" si="9"/>
        <v>4.9141345399999994E-2</v>
      </c>
      <c r="AL18" s="19">
        <f t="shared" si="10"/>
        <v>5.0868771929824526</v>
      </c>
      <c r="AM18" s="19">
        <f t="shared" si="11"/>
        <v>137.68446803656295</v>
      </c>
      <c r="AN18" s="19">
        <f t="shared" si="1"/>
        <v>103.51522026058434</v>
      </c>
      <c r="AO18" s="19">
        <f t="shared" si="12"/>
        <v>0.3338941329784666</v>
      </c>
      <c r="AP18" s="19">
        <f t="shared" si="2"/>
        <v>137.68446803656295</v>
      </c>
      <c r="AQ18" s="35"/>
      <c r="AS18" s="10"/>
      <c r="AT18" s="10"/>
      <c r="AU18" s="10"/>
      <c r="AV18" s="48"/>
      <c r="AW18" s="10"/>
    </row>
    <row r="19" spans="2:49" x14ac:dyDescent="0.25">
      <c r="B19" s="47"/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54"/>
      <c r="Q19" s="10"/>
      <c r="R19" s="41"/>
      <c r="S19" s="30"/>
      <c r="T19" s="30"/>
      <c r="U19" s="30"/>
      <c r="V19" s="30"/>
      <c r="W19" s="30"/>
      <c r="X19" s="30"/>
      <c r="Y19" s="30"/>
      <c r="Z19" s="30"/>
      <c r="AA19" s="31"/>
      <c r="AC19" s="18"/>
      <c r="AD19" s="18"/>
      <c r="AG19" s="19"/>
      <c r="AH19" s="19"/>
      <c r="AI19" s="19"/>
      <c r="AJ19" s="21"/>
      <c r="AK19" s="19"/>
      <c r="AL19" s="19"/>
      <c r="AM19" s="19"/>
      <c r="AN19" s="19"/>
      <c r="AO19" s="19"/>
      <c r="AP19" s="19"/>
      <c r="AQ19" s="35"/>
      <c r="AS19" s="48"/>
      <c r="AT19" s="48"/>
      <c r="AU19" s="48"/>
      <c r="AV19" s="48"/>
      <c r="AW19" s="10"/>
    </row>
    <row r="20" spans="2:49" x14ac:dyDescent="0.25">
      <c r="B20" s="47"/>
      <c r="C20" s="47"/>
      <c r="D20" s="53"/>
      <c r="E20" s="53"/>
      <c r="F20" s="53"/>
      <c r="G20" s="48"/>
      <c r="H20" s="48"/>
      <c r="I20" s="48"/>
      <c r="J20" s="48"/>
      <c r="K20" s="48"/>
      <c r="L20" s="48"/>
      <c r="M20" s="48"/>
      <c r="N20" s="53"/>
      <c r="O20" s="48"/>
      <c r="P20" s="54"/>
      <c r="Q20" s="39"/>
      <c r="R20" s="41"/>
      <c r="S20" s="30"/>
      <c r="T20" s="30"/>
      <c r="U20" s="30"/>
      <c r="V20" s="30"/>
      <c r="W20" s="30"/>
      <c r="X20" s="30"/>
      <c r="Y20" s="30"/>
      <c r="Z20" s="30"/>
      <c r="AA20" s="31"/>
      <c r="AG20" s="19"/>
      <c r="AH20" s="19"/>
      <c r="AI20" s="19"/>
      <c r="AJ20" s="21"/>
      <c r="AK20" s="19"/>
      <c r="AL20" s="19"/>
      <c r="AM20" s="19"/>
      <c r="AN20" s="19"/>
      <c r="AO20" s="19"/>
      <c r="AP20" s="19"/>
      <c r="AQ20" s="35"/>
      <c r="AS20" s="53"/>
      <c r="AT20" s="53"/>
      <c r="AU20" s="53"/>
      <c r="AV20" s="10"/>
      <c r="AW20" s="10"/>
    </row>
    <row r="21" spans="2:49" x14ac:dyDescent="0.25">
      <c r="B21" s="47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50"/>
      <c r="Q21" s="10"/>
      <c r="R21" s="42"/>
      <c r="S21" s="30"/>
      <c r="T21" s="30"/>
      <c r="U21" s="30"/>
      <c r="V21" s="30"/>
      <c r="W21" s="30"/>
      <c r="X21" s="30"/>
      <c r="Y21" s="30"/>
      <c r="Z21" s="30"/>
      <c r="AA21" s="31"/>
      <c r="AG21" s="19"/>
      <c r="AH21" s="19"/>
      <c r="AI21" s="19"/>
      <c r="AJ21" s="21"/>
      <c r="AK21" s="19"/>
      <c r="AL21" s="19"/>
      <c r="AM21" s="19"/>
      <c r="AN21" s="19"/>
      <c r="AO21" s="19"/>
      <c r="AP21" s="19"/>
      <c r="AQ21" s="35"/>
      <c r="AS21" s="48"/>
      <c r="AT21" s="48"/>
      <c r="AU21" s="48"/>
      <c r="AV21" s="10"/>
    </row>
    <row r="22" spans="2:49" x14ac:dyDescent="0.25">
      <c r="B22" s="63" t="s">
        <v>303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10"/>
      <c r="R22" s="42"/>
      <c r="S22" s="11" t="s">
        <v>305</v>
      </c>
      <c r="T22" s="11"/>
      <c r="U22" s="11"/>
      <c r="V22" s="11"/>
      <c r="W22" s="11"/>
      <c r="X22" s="11"/>
      <c r="Y22" s="11"/>
      <c r="Z22" s="11"/>
      <c r="AA22" s="11"/>
      <c r="AG22" s="63" t="s">
        <v>305</v>
      </c>
      <c r="AH22" s="63"/>
      <c r="AI22" s="63"/>
      <c r="AJ22" s="63"/>
      <c r="AK22" s="63"/>
      <c r="AL22" s="63"/>
      <c r="AM22" s="63"/>
      <c r="AN22" s="63"/>
      <c r="AO22" s="63"/>
      <c r="AP22" s="63"/>
      <c r="AQ22" s="35"/>
      <c r="AT22" s="10"/>
      <c r="AU22" s="10"/>
      <c r="AV22" s="10"/>
    </row>
    <row r="23" spans="2:49" x14ac:dyDescent="0.25">
      <c r="Q23" s="10"/>
      <c r="R23" s="42"/>
      <c r="AQ23" s="35"/>
      <c r="AT23" s="10"/>
      <c r="AU23" s="10"/>
      <c r="AV23" s="10"/>
    </row>
    <row r="24" spans="2:49" x14ac:dyDescent="0.25">
      <c r="B24" s="39"/>
      <c r="C24" s="3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42"/>
      <c r="Q24" s="10"/>
      <c r="R24" s="42"/>
      <c r="S24" t="s">
        <v>313</v>
      </c>
      <c r="X24" s="8">
        <v>4.9000000000000004</v>
      </c>
      <c r="Y24" s="30"/>
      <c r="Z24" s="30"/>
      <c r="AA24" s="31"/>
      <c r="AG24" s="19"/>
      <c r="AH24" s="19"/>
      <c r="AI24" s="19"/>
      <c r="AJ24" s="21"/>
      <c r="AK24" s="19"/>
      <c r="AL24" s="19"/>
      <c r="AM24" s="19"/>
      <c r="AN24" s="19"/>
      <c r="AO24" s="19"/>
      <c r="AP24" s="19"/>
      <c r="AQ24" s="35"/>
      <c r="AT24" s="10"/>
      <c r="AU24" s="10"/>
      <c r="AV24" s="10"/>
    </row>
    <row r="25" spans="2:49" x14ac:dyDescent="0.25">
      <c r="B25" s="39"/>
      <c r="C25" s="3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42"/>
      <c r="Q25" s="10"/>
      <c r="R25" s="42"/>
      <c r="S25" t="s">
        <v>312</v>
      </c>
      <c r="X25" s="8">
        <v>1.5369999999999999</v>
      </c>
      <c r="Y25" s="30"/>
      <c r="Z25" s="30"/>
      <c r="AA25" s="31"/>
      <c r="AG25" s="19"/>
      <c r="AH25" s="19"/>
      <c r="AI25" s="19"/>
      <c r="AJ25" s="21"/>
      <c r="AK25" s="19"/>
      <c r="AL25" s="19"/>
      <c r="AM25" s="19"/>
      <c r="AN25" s="19"/>
      <c r="AO25" s="19"/>
      <c r="AP25" s="19"/>
      <c r="AQ25" s="35"/>
      <c r="AT25" s="10"/>
      <c r="AU25" s="10"/>
      <c r="AV25" s="10"/>
    </row>
    <row r="26" spans="2:49" x14ac:dyDescent="0.25">
      <c r="B26" s="39"/>
      <c r="C26" s="3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2"/>
      <c r="Q26" s="10"/>
      <c r="R26" s="42"/>
      <c r="S26" t="s">
        <v>311</v>
      </c>
      <c r="X26" s="8">
        <f>S6-S18</f>
        <v>4.1000000000000014</v>
      </c>
      <c r="Y26" s="30"/>
      <c r="Z26" s="30"/>
      <c r="AA26" s="31"/>
      <c r="AG26" s="19"/>
      <c r="AH26" s="19"/>
      <c r="AI26" s="19"/>
      <c r="AJ26" s="21"/>
      <c r="AK26" s="19"/>
      <c r="AL26" s="19"/>
      <c r="AM26" s="19"/>
      <c r="AN26" s="19"/>
      <c r="AO26" s="19"/>
      <c r="AP26" s="19"/>
      <c r="AQ26" s="35"/>
      <c r="AT26" s="10"/>
      <c r="AU26" s="10"/>
      <c r="AV26" s="10"/>
    </row>
    <row r="27" spans="2:49" x14ac:dyDescent="0.25">
      <c r="B27" s="39"/>
      <c r="C27" s="3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42"/>
      <c r="S27" t="s">
        <v>314</v>
      </c>
      <c r="X27" s="8">
        <f>X24-X25</f>
        <v>3.3630000000000004</v>
      </c>
      <c r="Y27" s="30"/>
      <c r="Z27" s="30"/>
      <c r="AA27" s="31"/>
      <c r="AG27" s="19"/>
      <c r="AH27" s="19"/>
      <c r="AI27" s="19"/>
      <c r="AJ27" s="21"/>
      <c r="AK27" s="19"/>
      <c r="AL27" s="19"/>
      <c r="AM27" s="19"/>
      <c r="AN27" s="19"/>
      <c r="AO27" s="19"/>
      <c r="AP27" s="19"/>
      <c r="AQ27" s="35"/>
      <c r="AT27" s="10"/>
      <c r="AU27" s="10"/>
      <c r="AV27" s="10"/>
    </row>
    <row r="28" spans="2:49" x14ac:dyDescent="0.25">
      <c r="S28" t="s">
        <v>315</v>
      </c>
      <c r="X28" s="8">
        <f>X26-X27</f>
        <v>0.73700000000000099</v>
      </c>
      <c r="AQ28" s="35"/>
    </row>
    <row r="29" spans="2:49" x14ac:dyDescent="0.25">
      <c r="AQ29" s="35"/>
    </row>
    <row r="30" spans="2:49" x14ac:dyDescent="0.25">
      <c r="S30" t="s">
        <v>316</v>
      </c>
      <c r="X30" s="29">
        <f>X27/X28</f>
        <v>4.56309362279511</v>
      </c>
      <c r="AQ30" s="35"/>
    </row>
    <row r="31" spans="2:49" x14ac:dyDescent="0.25">
      <c r="AQ31" s="35"/>
    </row>
    <row r="32" spans="2:49" x14ac:dyDescent="0.25">
      <c r="AQ32" s="35"/>
    </row>
    <row r="33" spans="1:43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4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8"/>
    </row>
    <row r="35" spans="1:43" x14ac:dyDescent="0.25">
      <c r="Y35" s="18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10" spans="46:46" x14ac:dyDescent="0.25">
      <c r="AT410" s="7"/>
    </row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54" spans="46:46" x14ac:dyDescent="0.25">
      <c r="AT554" s="7"/>
    </row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84" spans="46:46" x14ac:dyDescent="0.25">
      <c r="AT684" s="7"/>
    </row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</sheetData>
  <mergeCells count="2">
    <mergeCell ref="B22:P22"/>
    <mergeCell ref="AG22:AP2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BEC85-B317-4BC1-A236-9656172DD649}">
  <dimension ref="A1:AW1233"/>
  <sheetViews>
    <sheetView topLeftCell="O1" zoomScale="70" zoomScaleNormal="70" workbookViewId="0">
      <selection activeCell="AT26" sqref="AT26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2.2851562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</cols>
  <sheetData>
    <row r="1" spans="2:49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9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9" x14ac:dyDescent="0.25">
      <c r="L3" s="9"/>
      <c r="M3" s="10"/>
      <c r="AQ3" s="35"/>
    </row>
    <row r="4" spans="2:49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383</v>
      </c>
      <c r="W4" s="17" t="s">
        <v>384</v>
      </c>
      <c r="X4" s="17" t="s">
        <v>385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9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9" x14ac:dyDescent="0.25">
      <c r="B6" s="3" t="s">
        <v>257</v>
      </c>
      <c r="C6" s="5">
        <v>20</v>
      </c>
      <c r="D6" s="2" t="s">
        <v>258</v>
      </c>
      <c r="E6" s="2" t="s">
        <v>258</v>
      </c>
      <c r="F6" s="2" t="s">
        <v>258</v>
      </c>
      <c r="G6" s="2">
        <v>20</v>
      </c>
      <c r="H6" s="2">
        <v>0.1</v>
      </c>
      <c r="I6" s="2">
        <v>0</v>
      </c>
      <c r="J6" s="2">
        <v>0</v>
      </c>
      <c r="K6" s="2">
        <v>20.9</v>
      </c>
      <c r="L6" s="2">
        <v>0</v>
      </c>
      <c r="M6" s="2">
        <v>0</v>
      </c>
      <c r="N6" s="2">
        <v>40.299999999999997</v>
      </c>
      <c r="O6" s="2">
        <v>0</v>
      </c>
      <c r="P6" s="45">
        <v>0.41041666666666665</v>
      </c>
      <c r="Q6" s="10"/>
      <c r="R6" s="41"/>
      <c r="S6" s="30">
        <f>N6-25.079</f>
        <v>15.220999999999997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6.85</v>
      </c>
      <c r="Z6" s="30">
        <f>S6-V6</f>
        <v>15.220999999999997</v>
      </c>
      <c r="AA6" s="31">
        <f>Y6/Z6</f>
        <v>0.45003613428815459</v>
      </c>
      <c r="AC6" s="18"/>
      <c r="AD6" s="18">
        <v>1000</v>
      </c>
      <c r="AE6" s="22" t="s">
        <v>309</v>
      </c>
      <c r="AF6" s="23">
        <v>1530</v>
      </c>
      <c r="AG6" s="19">
        <v>0</v>
      </c>
      <c r="AH6" s="19">
        <v>0</v>
      </c>
      <c r="AI6" s="19">
        <f t="shared" ref="AI6:AI19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8.3710000000000004</v>
      </c>
      <c r="AM6" s="19">
        <f>S6/AK6</f>
        <v>309.73917942425726</v>
      </c>
      <c r="AN6" s="19">
        <f t="shared" ref="AN6:AN19" si="1">AL6/AK6</f>
        <v>170.34535647857948</v>
      </c>
      <c r="AO6" s="19">
        <f>(AA6/(1-AA6))</f>
        <v>0.81830127822243481</v>
      </c>
      <c r="AP6" s="19">
        <f t="shared" ref="AP6:AP19" si="2">AM6/(1+AQ6)</f>
        <v>309.73917942425726</v>
      </c>
      <c r="AQ6" s="35"/>
      <c r="AT6" s="10"/>
      <c r="AU6" s="10"/>
      <c r="AV6" s="10"/>
      <c r="AW6" s="10"/>
    </row>
    <row r="7" spans="2:49" x14ac:dyDescent="0.25">
      <c r="B7" s="3" t="s">
        <v>259</v>
      </c>
      <c r="C7" s="5">
        <v>40.299999999999997</v>
      </c>
      <c r="D7" s="2">
        <v>7</v>
      </c>
      <c r="E7" s="2">
        <v>7</v>
      </c>
      <c r="F7" s="2">
        <v>7</v>
      </c>
      <c r="G7" s="2">
        <v>20</v>
      </c>
      <c r="H7" s="2">
        <v>85.3</v>
      </c>
      <c r="I7" s="2">
        <v>0</v>
      </c>
      <c r="J7" s="2">
        <v>0</v>
      </c>
      <c r="K7" s="2">
        <v>0.7</v>
      </c>
      <c r="L7" s="2">
        <v>0</v>
      </c>
      <c r="M7" s="2">
        <v>0</v>
      </c>
      <c r="N7" s="2">
        <v>38.5</v>
      </c>
      <c r="O7" s="2">
        <v>1.8</v>
      </c>
      <c r="P7" s="45">
        <v>0.32708333333333334</v>
      </c>
      <c r="Q7" s="10"/>
      <c r="R7" s="41"/>
      <c r="S7" s="30">
        <f t="shared" ref="S7:S19" si="3">N7-25.079</f>
        <v>13.420999999999999</v>
      </c>
      <c r="T7" s="30">
        <v>1</v>
      </c>
      <c r="U7" s="30">
        <f t="shared" ref="U7:U19" si="4">S6-S7</f>
        <v>1.7999999999999972</v>
      </c>
      <c r="V7" s="30">
        <f>U7-(U7/4.83)</f>
        <v>1.4273291925465816</v>
      </c>
      <c r="W7" s="30">
        <f t="shared" ref="W7:W19" si="5">U7-V7</f>
        <v>0.37267080745341552</v>
      </c>
      <c r="X7" s="30">
        <f>V7+V6</f>
        <v>1.4273291925465816</v>
      </c>
      <c r="Y7" s="30">
        <f>6.85-X7</f>
        <v>5.422670807453418</v>
      </c>
      <c r="Z7" s="30">
        <f t="shared" ref="Z7:Z19" si="6">S6-V7</f>
        <v>13.793670807453415</v>
      </c>
      <c r="AA7" s="31">
        <f t="shared" ref="AA7:AA19" si="7">Y7/Z7</f>
        <v>0.39312746281600952</v>
      </c>
      <c r="AC7" s="18"/>
      <c r="AD7" s="18"/>
      <c r="AE7" s="24"/>
      <c r="AF7" s="25"/>
      <c r="AG7" s="19">
        <v>2</v>
      </c>
      <c r="AH7" s="19">
        <f t="shared" ref="AH7:AH19" si="8">AG7-AG6</f>
        <v>2</v>
      </c>
      <c r="AI7" s="19">
        <f t="shared" si="0"/>
        <v>74</v>
      </c>
      <c r="AJ7" s="21">
        <v>0.28699999999999998</v>
      </c>
      <c r="AK7" s="19">
        <f t="shared" ref="AK7:AK19" si="9">((($AJ$6*$AJ$6)*3.14)/4)*(AI7/100)</f>
        <v>4.7848152099999992E-2</v>
      </c>
      <c r="AL7" s="19">
        <f t="shared" ref="AL7:AL19" si="10">AL6-W7</f>
        <v>7.9983291925465849</v>
      </c>
      <c r="AM7" s="19">
        <f t="shared" ref="AM7:AM19" si="11">S7/AK7</f>
        <v>280.49150094555063</v>
      </c>
      <c r="AN7" s="19">
        <f t="shared" si="1"/>
        <v>167.16067061128126</v>
      </c>
      <c r="AO7" s="19">
        <f t="shared" ref="AO7:AO19" si="12">(AA7/(1-AA7))</f>
        <v>0.6477924749078271</v>
      </c>
      <c r="AP7" s="19">
        <f t="shared" si="2"/>
        <v>280.49150094555063</v>
      </c>
      <c r="AQ7" s="35"/>
      <c r="AT7" s="10"/>
      <c r="AU7" s="10"/>
      <c r="AV7" s="10"/>
      <c r="AW7" s="10"/>
    </row>
    <row r="8" spans="2:49" x14ac:dyDescent="0.25">
      <c r="B8" s="3" t="s">
        <v>260</v>
      </c>
      <c r="C8" s="5">
        <v>33.799999999999997</v>
      </c>
      <c r="D8" s="2">
        <v>9</v>
      </c>
      <c r="E8" s="2">
        <v>9</v>
      </c>
      <c r="F8" s="2">
        <v>9</v>
      </c>
      <c r="G8" s="2">
        <v>20</v>
      </c>
      <c r="H8" s="2">
        <v>75.599999999999994</v>
      </c>
      <c r="I8" s="2">
        <v>1</v>
      </c>
      <c r="J8" s="2">
        <v>0</v>
      </c>
      <c r="K8" s="2">
        <v>0.7</v>
      </c>
      <c r="L8" s="2">
        <v>0</v>
      </c>
      <c r="M8" s="2">
        <v>0</v>
      </c>
      <c r="N8" s="2">
        <v>36.1</v>
      </c>
      <c r="O8" s="2">
        <v>2.4</v>
      </c>
      <c r="P8" s="45">
        <v>0.33194444444444443</v>
      </c>
      <c r="Q8" s="10"/>
      <c r="R8" s="41"/>
      <c r="S8" s="30">
        <f t="shared" si="3"/>
        <v>11.021000000000001</v>
      </c>
      <c r="T8" s="30">
        <v>2</v>
      </c>
      <c r="U8" s="30">
        <f t="shared" si="4"/>
        <v>2.3999999999999986</v>
      </c>
      <c r="V8" s="30">
        <f t="shared" ref="V8:V19" si="13">U8-(U8/4.83)</f>
        <v>1.9031055900621108</v>
      </c>
      <c r="W8" s="30">
        <f t="shared" si="5"/>
        <v>0.4968944099378878</v>
      </c>
      <c r="X8" s="30">
        <f>V7+V8+V6</f>
        <v>3.3304347826086924</v>
      </c>
      <c r="Y8" s="30">
        <f t="shared" ref="Y8:Y19" si="14">6.85-X8</f>
        <v>3.5195652173913072</v>
      </c>
      <c r="Z8" s="30">
        <f t="shared" si="6"/>
        <v>11.517894409937888</v>
      </c>
      <c r="AA8" s="31">
        <f t="shared" si="7"/>
        <v>0.30557366582164103</v>
      </c>
      <c r="AC8" s="18"/>
      <c r="AD8" s="18"/>
      <c r="AE8" s="24"/>
      <c r="AF8" s="25"/>
      <c r="AG8" s="19">
        <v>4</v>
      </c>
      <c r="AH8" s="19">
        <f t="shared" si="8"/>
        <v>2</v>
      </c>
      <c r="AI8" s="19">
        <f t="shared" si="0"/>
        <v>74</v>
      </c>
      <c r="AJ8" s="21">
        <v>0.28699999999999998</v>
      </c>
      <c r="AK8" s="19">
        <f t="shared" si="9"/>
        <v>4.7848152099999992E-2</v>
      </c>
      <c r="AL8" s="19">
        <f t="shared" si="10"/>
        <v>7.5014347826086976</v>
      </c>
      <c r="AM8" s="19">
        <f t="shared" si="11"/>
        <v>230.33282407577036</v>
      </c>
      <c r="AN8" s="19">
        <f t="shared" si="1"/>
        <v>156.7758513835835</v>
      </c>
      <c r="AO8" s="19">
        <f t="shared" si="12"/>
        <v>0.44003755442712861</v>
      </c>
      <c r="AP8" s="19">
        <f t="shared" si="2"/>
        <v>230.33282407577036</v>
      </c>
      <c r="AQ8" s="35"/>
      <c r="AT8" s="10"/>
      <c r="AU8" s="10"/>
      <c r="AV8" s="10"/>
      <c r="AW8" s="10"/>
    </row>
    <row r="9" spans="2:49" x14ac:dyDescent="0.25">
      <c r="B9" s="3" t="s">
        <v>261</v>
      </c>
      <c r="C9" s="5">
        <v>27.2</v>
      </c>
      <c r="D9" s="2">
        <v>10</v>
      </c>
      <c r="E9" s="2">
        <v>10</v>
      </c>
      <c r="F9" s="2">
        <v>10</v>
      </c>
      <c r="G9" s="2">
        <v>20</v>
      </c>
      <c r="H9" s="2">
        <v>11.5</v>
      </c>
      <c r="I9" s="2">
        <v>1</v>
      </c>
      <c r="J9" s="2">
        <v>0</v>
      </c>
      <c r="K9" s="2">
        <v>0.7</v>
      </c>
      <c r="L9" s="2">
        <v>0</v>
      </c>
      <c r="M9" s="2">
        <v>0</v>
      </c>
      <c r="N9" s="2">
        <v>34.9</v>
      </c>
      <c r="O9" s="2">
        <v>1.2</v>
      </c>
      <c r="P9" s="45">
        <v>0.31388888888888888</v>
      </c>
      <c r="Q9" s="10"/>
      <c r="R9" s="41"/>
      <c r="S9" s="30">
        <f t="shared" si="3"/>
        <v>9.820999999999998</v>
      </c>
      <c r="T9" s="30">
        <v>3</v>
      </c>
      <c r="U9" s="30">
        <f t="shared" si="4"/>
        <v>1.2000000000000028</v>
      </c>
      <c r="V9" s="30">
        <f t="shared" si="13"/>
        <v>0.95155279503105816</v>
      </c>
      <c r="W9" s="30">
        <f t="shared" si="5"/>
        <v>0.24844720496894468</v>
      </c>
      <c r="X9" s="30">
        <f>V9+V8+V7+V6</f>
        <v>4.2819875776397502</v>
      </c>
      <c r="Y9" s="30">
        <f t="shared" si="14"/>
        <v>2.5680124223602494</v>
      </c>
      <c r="Z9" s="30">
        <f t="shared" si="6"/>
        <v>10.069447204968943</v>
      </c>
      <c r="AA9" s="31">
        <f t="shared" si="7"/>
        <v>0.25503012926995827</v>
      </c>
      <c r="AC9" s="18"/>
      <c r="AD9" s="18"/>
      <c r="AE9" s="24"/>
      <c r="AF9" s="25"/>
      <c r="AG9" s="19">
        <v>5</v>
      </c>
      <c r="AH9" s="19">
        <f t="shared" si="8"/>
        <v>1</v>
      </c>
      <c r="AI9" s="19">
        <f t="shared" si="0"/>
        <v>75</v>
      </c>
      <c r="AJ9" s="21">
        <v>0.28699999999999998</v>
      </c>
      <c r="AK9" s="19">
        <f t="shared" si="9"/>
        <v>4.8494748749999997E-2</v>
      </c>
      <c r="AL9" s="19">
        <f t="shared" si="10"/>
        <v>7.252987577639753</v>
      </c>
      <c r="AM9" s="19">
        <f t="shared" si="11"/>
        <v>202.51677249900172</v>
      </c>
      <c r="AN9" s="19">
        <f t="shared" si="1"/>
        <v>149.5623292128048</v>
      </c>
      <c r="AO9" s="19">
        <f t="shared" si="12"/>
        <v>0.34233616591774185</v>
      </c>
      <c r="AP9" s="19">
        <f t="shared" si="2"/>
        <v>202.51677249900172</v>
      </c>
      <c r="AQ9" s="35"/>
      <c r="AT9" s="10"/>
      <c r="AU9" s="10"/>
      <c r="AV9" s="10"/>
      <c r="AW9" s="10"/>
    </row>
    <row r="10" spans="2:49" x14ac:dyDescent="0.25">
      <c r="B10" s="3" t="s">
        <v>262</v>
      </c>
      <c r="C10" s="5">
        <v>12.5</v>
      </c>
      <c r="D10" s="2">
        <v>10</v>
      </c>
      <c r="E10" s="2">
        <v>10</v>
      </c>
      <c r="F10" s="2">
        <v>10</v>
      </c>
      <c r="G10" s="2">
        <v>20</v>
      </c>
      <c r="H10" s="2">
        <v>4.7</v>
      </c>
      <c r="I10" s="2">
        <v>1</v>
      </c>
      <c r="J10" s="2">
        <v>0</v>
      </c>
      <c r="K10" s="2">
        <v>0.7</v>
      </c>
      <c r="L10" s="2">
        <v>0</v>
      </c>
      <c r="M10" s="2">
        <v>0</v>
      </c>
      <c r="N10" s="2">
        <v>34.5</v>
      </c>
      <c r="O10" s="2">
        <v>0.4</v>
      </c>
      <c r="P10" s="45">
        <v>0.29722222222222222</v>
      </c>
      <c r="Q10" s="10"/>
      <c r="R10" s="41"/>
      <c r="S10" s="30">
        <f t="shared" si="3"/>
        <v>9.4209999999999994</v>
      </c>
      <c r="T10" s="30">
        <v>4</v>
      </c>
      <c r="U10" s="30">
        <f t="shared" si="4"/>
        <v>0.39999999999999858</v>
      </c>
      <c r="V10" s="30">
        <f t="shared" si="13"/>
        <v>0.31718426501035085</v>
      </c>
      <c r="W10" s="30">
        <f t="shared" si="5"/>
        <v>8.2815734989647727E-2</v>
      </c>
      <c r="X10" s="30">
        <f>V10+V9+V8+V7+V6</f>
        <v>4.5991718426501009</v>
      </c>
      <c r="Y10" s="30">
        <f t="shared" si="14"/>
        <v>2.2508281573498987</v>
      </c>
      <c r="Z10" s="30">
        <f t="shared" si="6"/>
        <v>9.5038157349896473</v>
      </c>
      <c r="AA10" s="31">
        <f t="shared" si="7"/>
        <v>0.23683415378763661</v>
      </c>
      <c r="AC10" s="18"/>
      <c r="AD10" s="18"/>
      <c r="AE10" s="24"/>
      <c r="AF10" s="25"/>
      <c r="AG10" s="19">
        <v>5</v>
      </c>
      <c r="AH10" s="19">
        <f t="shared" si="8"/>
        <v>0</v>
      </c>
      <c r="AI10" s="19">
        <f t="shared" si="0"/>
        <v>76</v>
      </c>
      <c r="AJ10" s="21">
        <v>0.28699999999999998</v>
      </c>
      <c r="AK10" s="19">
        <f t="shared" si="9"/>
        <v>4.9141345399999994E-2</v>
      </c>
      <c r="AL10" s="19">
        <f t="shared" si="10"/>
        <v>7.1701718426501051</v>
      </c>
      <c r="AM10" s="19">
        <f t="shared" si="11"/>
        <v>191.71229284251547</v>
      </c>
      <c r="AN10" s="19">
        <f t="shared" si="1"/>
        <v>145.90914807656256</v>
      </c>
      <c r="AO10" s="19">
        <f t="shared" si="12"/>
        <v>0.310331175016621</v>
      </c>
      <c r="AP10" s="19">
        <f t="shared" si="2"/>
        <v>191.71229284251547</v>
      </c>
      <c r="AQ10" s="35"/>
      <c r="AT10" s="10"/>
      <c r="AU10" s="10"/>
      <c r="AV10" s="10"/>
      <c r="AW10" s="10"/>
    </row>
    <row r="11" spans="2:49" x14ac:dyDescent="0.25">
      <c r="B11" s="3" t="s">
        <v>263</v>
      </c>
      <c r="C11" s="5">
        <v>13.8</v>
      </c>
      <c r="D11" s="2">
        <v>11</v>
      </c>
      <c r="E11" s="2">
        <v>11</v>
      </c>
      <c r="F11" s="2">
        <v>11</v>
      </c>
      <c r="G11" s="2">
        <v>20</v>
      </c>
      <c r="H11" s="2">
        <v>4.4000000000000004</v>
      </c>
      <c r="I11" s="2">
        <v>0</v>
      </c>
      <c r="J11" s="2">
        <v>0</v>
      </c>
      <c r="K11" s="2">
        <v>0.7</v>
      </c>
      <c r="L11" s="2">
        <v>0</v>
      </c>
      <c r="M11" s="2">
        <v>0</v>
      </c>
      <c r="N11" s="2">
        <v>34.4</v>
      </c>
      <c r="O11" s="2">
        <v>0.1</v>
      </c>
      <c r="P11" s="45">
        <v>0.33750000000000002</v>
      </c>
      <c r="Q11" s="10"/>
      <c r="R11" s="41"/>
      <c r="S11" s="30">
        <f t="shared" si="3"/>
        <v>9.320999999999998</v>
      </c>
      <c r="T11" s="30">
        <v>5</v>
      </c>
      <c r="U11" s="30">
        <f t="shared" si="4"/>
        <v>0.10000000000000142</v>
      </c>
      <c r="V11" s="30">
        <f t="shared" si="13"/>
        <v>7.9296066252589115E-2</v>
      </c>
      <c r="W11" s="30">
        <f t="shared" si="5"/>
        <v>2.0703933747412306E-2</v>
      </c>
      <c r="X11" s="30">
        <f>V11+V10+V9+V8+V7+V6</f>
        <v>4.6784679089026904</v>
      </c>
      <c r="Y11" s="30">
        <f t="shared" si="14"/>
        <v>2.1715320910973093</v>
      </c>
      <c r="Z11" s="30">
        <f t="shared" si="6"/>
        <v>9.3417039337474108</v>
      </c>
      <c r="AA11" s="31">
        <f t="shared" si="7"/>
        <v>0.23245567473536943</v>
      </c>
      <c r="AC11" s="18"/>
      <c r="AD11" s="18"/>
      <c r="AE11" s="24"/>
      <c r="AF11" s="25"/>
      <c r="AG11" s="19">
        <v>6</v>
      </c>
      <c r="AH11" s="19">
        <f t="shared" si="8"/>
        <v>1</v>
      </c>
      <c r="AI11" s="19">
        <f t="shared" si="0"/>
        <v>75</v>
      </c>
      <c r="AJ11" s="21">
        <v>0.28699999999999998</v>
      </c>
      <c r="AK11" s="19">
        <f t="shared" si="9"/>
        <v>4.8494748749999997E-2</v>
      </c>
      <c r="AL11" s="19">
        <f t="shared" si="10"/>
        <v>7.1494679089026931</v>
      </c>
      <c r="AM11" s="19">
        <f t="shared" si="11"/>
        <v>192.20637780910243</v>
      </c>
      <c r="AN11" s="19">
        <f t="shared" si="1"/>
        <v>147.42767192711136</v>
      </c>
      <c r="AO11" s="19">
        <f t="shared" si="12"/>
        <v>0.30285635250475518</v>
      </c>
      <c r="AP11" s="19">
        <f t="shared" si="2"/>
        <v>192.20637780910243</v>
      </c>
      <c r="AQ11" s="35"/>
      <c r="AT11" s="10"/>
      <c r="AU11" s="10"/>
      <c r="AV11" s="10"/>
      <c r="AW11" s="10"/>
    </row>
    <row r="12" spans="2:49" x14ac:dyDescent="0.25">
      <c r="B12" s="3" t="s">
        <v>264</v>
      </c>
      <c r="C12" s="5">
        <v>14.4</v>
      </c>
      <c r="D12" s="2">
        <v>11</v>
      </c>
      <c r="E12" s="2">
        <v>11</v>
      </c>
      <c r="F12" s="2">
        <v>11</v>
      </c>
      <c r="G12" s="2">
        <v>20</v>
      </c>
      <c r="H12" s="2">
        <v>4.5</v>
      </c>
      <c r="I12" s="2">
        <v>1</v>
      </c>
      <c r="J12" s="2">
        <v>0</v>
      </c>
      <c r="K12" s="2">
        <v>0.7</v>
      </c>
      <c r="L12" s="2">
        <v>0</v>
      </c>
      <c r="M12" s="2">
        <v>0</v>
      </c>
      <c r="N12" s="2">
        <v>34.1</v>
      </c>
      <c r="O12" s="2">
        <v>0.3</v>
      </c>
      <c r="P12" s="45">
        <v>0.33124999999999999</v>
      </c>
      <c r="Q12" s="10"/>
      <c r="R12" s="41"/>
      <c r="S12" s="30">
        <f t="shared" si="3"/>
        <v>9.0210000000000008</v>
      </c>
      <c r="T12" s="30">
        <v>6</v>
      </c>
      <c r="U12" s="30">
        <f t="shared" si="4"/>
        <v>0.29999999999999716</v>
      </c>
      <c r="V12" s="30">
        <f t="shared" si="13"/>
        <v>0.23788819875776174</v>
      </c>
      <c r="W12" s="30">
        <f t="shared" si="5"/>
        <v>6.211180124223542E-2</v>
      </c>
      <c r="X12" s="30">
        <f>V12+V11+V10+V9+V8+V7+V6</f>
        <v>4.9163561076604525</v>
      </c>
      <c r="Y12" s="30">
        <f t="shared" si="14"/>
        <v>1.9336438923395471</v>
      </c>
      <c r="Z12" s="30">
        <f t="shared" si="6"/>
        <v>9.0831118012422358</v>
      </c>
      <c r="AA12" s="31">
        <f t="shared" si="7"/>
        <v>0.21288341866221394</v>
      </c>
      <c r="AC12" s="18"/>
      <c r="AD12" s="18"/>
      <c r="AE12" s="24"/>
      <c r="AF12" s="25"/>
      <c r="AG12" s="19">
        <v>6</v>
      </c>
      <c r="AH12" s="19">
        <f t="shared" si="8"/>
        <v>0</v>
      </c>
      <c r="AI12" s="19">
        <f t="shared" si="0"/>
        <v>76</v>
      </c>
      <c r="AJ12" s="21">
        <v>0.28699999999999998</v>
      </c>
      <c r="AK12" s="19">
        <f t="shared" si="9"/>
        <v>4.9141345399999994E-2</v>
      </c>
      <c r="AL12" s="19">
        <f t="shared" si="10"/>
        <v>7.0873561076604581</v>
      </c>
      <c r="AM12" s="19">
        <f t="shared" si="11"/>
        <v>183.57250756101607</v>
      </c>
      <c r="AN12" s="19">
        <f t="shared" si="1"/>
        <v>144.22389232469934</v>
      </c>
      <c r="AO12" s="19">
        <f t="shared" si="12"/>
        <v>0.2704598323928033</v>
      </c>
      <c r="AP12" s="19">
        <f t="shared" si="2"/>
        <v>183.57250756101607</v>
      </c>
      <c r="AQ12" s="35"/>
      <c r="AT12" s="10"/>
      <c r="AU12" s="10"/>
      <c r="AV12" s="10"/>
      <c r="AW12" s="10"/>
    </row>
    <row r="13" spans="2:49" x14ac:dyDescent="0.25">
      <c r="B13" s="3" t="s">
        <v>265</v>
      </c>
      <c r="C13" s="5">
        <v>17.7</v>
      </c>
      <c r="D13" s="2">
        <v>12</v>
      </c>
      <c r="E13" s="2">
        <v>12</v>
      </c>
      <c r="F13" s="2">
        <v>12</v>
      </c>
      <c r="G13" s="2">
        <v>20</v>
      </c>
      <c r="H13" s="2">
        <v>4.7</v>
      </c>
      <c r="I13" s="2">
        <v>1</v>
      </c>
      <c r="J13" s="2">
        <v>0</v>
      </c>
      <c r="K13" s="2">
        <v>0.7</v>
      </c>
      <c r="L13" s="2">
        <v>0</v>
      </c>
      <c r="M13" s="2">
        <v>0</v>
      </c>
      <c r="N13" s="2">
        <v>33.9</v>
      </c>
      <c r="O13" s="2">
        <v>0.2</v>
      </c>
      <c r="P13" s="45">
        <v>0.33611111111111114</v>
      </c>
      <c r="Q13" s="10"/>
      <c r="R13" s="41"/>
      <c r="S13" s="30">
        <f t="shared" si="3"/>
        <v>8.820999999999998</v>
      </c>
      <c r="T13" s="30">
        <v>7</v>
      </c>
      <c r="U13" s="30">
        <f t="shared" si="4"/>
        <v>0.20000000000000284</v>
      </c>
      <c r="V13" s="30">
        <f t="shared" si="13"/>
        <v>0.15859213250517823</v>
      </c>
      <c r="W13" s="30">
        <f t="shared" si="5"/>
        <v>4.1407867494824613E-2</v>
      </c>
      <c r="X13" s="30">
        <f>V13+V12+V11+V10+V9+V8+V7+V6</f>
        <v>5.0749482401656305</v>
      </c>
      <c r="Y13" s="30">
        <f t="shared" si="14"/>
        <v>1.7750517598343691</v>
      </c>
      <c r="Z13" s="30">
        <f t="shared" si="6"/>
        <v>8.8624078674948219</v>
      </c>
      <c r="AA13" s="31">
        <f t="shared" si="7"/>
        <v>0.20029000993565549</v>
      </c>
      <c r="AC13" s="18"/>
      <c r="AD13" s="18"/>
      <c r="AE13" s="24"/>
      <c r="AF13" s="25"/>
      <c r="AG13" s="19">
        <v>7</v>
      </c>
      <c r="AH13" s="19">
        <f t="shared" si="8"/>
        <v>1</v>
      </c>
      <c r="AI13" s="19">
        <f t="shared" si="0"/>
        <v>75</v>
      </c>
      <c r="AJ13" s="21">
        <v>0.28699999999999998</v>
      </c>
      <c r="AK13" s="19">
        <f t="shared" si="9"/>
        <v>4.8494748749999997E-2</v>
      </c>
      <c r="AL13" s="19">
        <f t="shared" si="10"/>
        <v>7.0459482401656333</v>
      </c>
      <c r="AM13" s="19">
        <f t="shared" si="11"/>
        <v>181.89598311920315</v>
      </c>
      <c r="AN13" s="19">
        <f t="shared" si="1"/>
        <v>145.29301464141793</v>
      </c>
      <c r="AO13" s="19">
        <f t="shared" si="12"/>
        <v>0.2504533048531008</v>
      </c>
      <c r="AP13" s="19">
        <f t="shared" si="2"/>
        <v>181.89598311920315</v>
      </c>
      <c r="AQ13" s="35"/>
      <c r="AT13" s="10"/>
      <c r="AU13" s="10"/>
      <c r="AV13" s="10"/>
      <c r="AW13" s="10"/>
    </row>
    <row r="14" spans="2:49" x14ac:dyDescent="0.25">
      <c r="B14" s="3" t="s">
        <v>266</v>
      </c>
      <c r="C14" s="5">
        <v>16.399999999999999</v>
      </c>
      <c r="D14" s="2">
        <v>12</v>
      </c>
      <c r="E14" s="2">
        <v>12</v>
      </c>
      <c r="F14" s="2">
        <v>12</v>
      </c>
      <c r="G14" s="2">
        <v>20</v>
      </c>
      <c r="H14" s="2">
        <v>4.4000000000000004</v>
      </c>
      <c r="I14" s="2">
        <v>1</v>
      </c>
      <c r="J14" s="2">
        <v>0</v>
      </c>
      <c r="K14" s="2">
        <v>0.7</v>
      </c>
      <c r="L14" s="2">
        <v>0</v>
      </c>
      <c r="M14" s="2">
        <v>0</v>
      </c>
      <c r="N14" s="2">
        <v>33.9</v>
      </c>
      <c r="O14" s="2">
        <v>0</v>
      </c>
      <c r="P14" s="45">
        <v>0.32013888888888886</v>
      </c>
      <c r="Q14" s="10"/>
      <c r="R14" s="41"/>
      <c r="S14" s="30">
        <f t="shared" si="3"/>
        <v>8.820999999999998</v>
      </c>
      <c r="T14" s="30">
        <v>8</v>
      </c>
      <c r="U14" s="30">
        <f t="shared" si="4"/>
        <v>0</v>
      </c>
      <c r="V14" s="30">
        <f t="shared" si="13"/>
        <v>0</v>
      </c>
      <c r="W14" s="30">
        <f t="shared" si="5"/>
        <v>0</v>
      </c>
      <c r="X14" s="30">
        <f>V14+V13+V12+V11+V10+V9+V8+V7+V6</f>
        <v>5.0749482401656305</v>
      </c>
      <c r="Y14" s="30">
        <f t="shared" si="14"/>
        <v>1.7750517598343691</v>
      </c>
      <c r="Z14" s="30">
        <f t="shared" si="6"/>
        <v>8.820999999999998</v>
      </c>
      <c r="AA14" s="31">
        <f t="shared" si="7"/>
        <v>0.20123021877727804</v>
      </c>
      <c r="AC14" s="18"/>
      <c r="AD14" s="18"/>
      <c r="AE14" s="24"/>
      <c r="AF14" s="25"/>
      <c r="AG14" s="19">
        <v>7</v>
      </c>
      <c r="AH14" s="19">
        <f t="shared" si="8"/>
        <v>0</v>
      </c>
      <c r="AI14" s="19">
        <f t="shared" si="0"/>
        <v>76</v>
      </c>
      <c r="AJ14" s="21">
        <v>0.28699999999999998</v>
      </c>
      <c r="AK14" s="19">
        <f t="shared" si="9"/>
        <v>4.9141345399999994E-2</v>
      </c>
      <c r="AL14" s="19">
        <f t="shared" si="10"/>
        <v>7.0459482401656333</v>
      </c>
      <c r="AM14" s="19">
        <f t="shared" si="11"/>
        <v>179.5026149202663</v>
      </c>
      <c r="AN14" s="19">
        <f t="shared" si="1"/>
        <v>143.38126444876769</v>
      </c>
      <c r="AO14" s="19">
        <f t="shared" si="12"/>
        <v>0.25192517732611719</v>
      </c>
      <c r="AP14" s="19">
        <f t="shared" si="2"/>
        <v>179.5026149202663</v>
      </c>
      <c r="AQ14" s="35"/>
      <c r="AT14" s="10"/>
      <c r="AU14" s="10"/>
      <c r="AV14" s="10"/>
      <c r="AW14" s="10"/>
    </row>
    <row r="15" spans="2:49" x14ac:dyDescent="0.25">
      <c r="B15" s="3" t="s">
        <v>267</v>
      </c>
      <c r="C15" s="5">
        <v>15.8</v>
      </c>
      <c r="D15" s="2">
        <v>12</v>
      </c>
      <c r="E15" s="2">
        <v>12</v>
      </c>
      <c r="F15" s="2">
        <v>12</v>
      </c>
      <c r="G15" s="2">
        <v>20</v>
      </c>
      <c r="H15" s="2">
        <v>4.0999999999999996</v>
      </c>
      <c r="I15" s="2">
        <v>1</v>
      </c>
      <c r="J15" s="2">
        <v>0</v>
      </c>
      <c r="K15" s="2">
        <v>0.7</v>
      </c>
      <c r="L15" s="2">
        <v>0</v>
      </c>
      <c r="M15" s="2">
        <v>0</v>
      </c>
      <c r="N15" s="2">
        <v>33.799999999999997</v>
      </c>
      <c r="O15" s="2">
        <v>0.1</v>
      </c>
      <c r="P15" s="45">
        <v>0.30416666666666664</v>
      </c>
      <c r="Q15" s="10"/>
      <c r="R15" s="41"/>
      <c r="S15" s="30">
        <f t="shared" si="3"/>
        <v>8.7209999999999965</v>
      </c>
      <c r="T15" s="30">
        <v>9</v>
      </c>
      <c r="U15" s="30">
        <f t="shared" si="4"/>
        <v>0.10000000000000142</v>
      </c>
      <c r="V15" s="30">
        <f t="shared" si="13"/>
        <v>7.9296066252589115E-2</v>
      </c>
      <c r="W15" s="30">
        <f t="shared" si="5"/>
        <v>2.0703933747412306E-2</v>
      </c>
      <c r="X15" s="30">
        <f>V15+V14+V13+V12+V11+V10+V9+V8+V7+V6</f>
        <v>5.1542443064182191</v>
      </c>
      <c r="Y15" s="30">
        <f t="shared" si="14"/>
        <v>1.6957556935817806</v>
      </c>
      <c r="Z15" s="30">
        <f t="shared" si="6"/>
        <v>8.7417039337474094</v>
      </c>
      <c r="AA15" s="31">
        <f t="shared" si="7"/>
        <v>0.19398457170750244</v>
      </c>
      <c r="AC15" s="18"/>
      <c r="AD15" s="18"/>
      <c r="AE15" s="24"/>
      <c r="AF15" s="25"/>
      <c r="AG15" s="19">
        <v>7</v>
      </c>
      <c r="AH15" s="19">
        <f t="shared" si="8"/>
        <v>0</v>
      </c>
      <c r="AI15" s="19">
        <f t="shared" si="0"/>
        <v>76</v>
      </c>
      <c r="AJ15" s="21">
        <v>0.28699999999999998</v>
      </c>
      <c r="AK15" s="19">
        <f t="shared" si="9"/>
        <v>4.9141345399999994E-2</v>
      </c>
      <c r="AL15" s="19">
        <f t="shared" si="10"/>
        <v>7.0252443064182213</v>
      </c>
      <c r="AM15" s="19">
        <f t="shared" si="11"/>
        <v>177.4676685998914</v>
      </c>
      <c r="AN15" s="19">
        <f t="shared" si="1"/>
        <v>142.95995051080189</v>
      </c>
      <c r="AO15" s="19">
        <f t="shared" si="12"/>
        <v>0.24067104040235163</v>
      </c>
      <c r="AP15" s="19">
        <f t="shared" si="2"/>
        <v>177.4676685998914</v>
      </c>
      <c r="AQ15" s="35"/>
      <c r="AT15" s="10"/>
      <c r="AU15" s="10"/>
      <c r="AV15" s="10"/>
      <c r="AW15" s="10"/>
    </row>
    <row r="16" spans="2:49" x14ac:dyDescent="0.25">
      <c r="B16" s="3" t="s">
        <v>268</v>
      </c>
      <c r="C16" s="5">
        <v>15</v>
      </c>
      <c r="D16" s="2">
        <v>12</v>
      </c>
      <c r="E16" s="2">
        <v>12</v>
      </c>
      <c r="F16" s="2">
        <v>12</v>
      </c>
      <c r="G16" s="2">
        <v>20</v>
      </c>
      <c r="H16" s="2">
        <v>4.3</v>
      </c>
      <c r="I16" s="2">
        <v>1</v>
      </c>
      <c r="J16" s="2">
        <v>0</v>
      </c>
      <c r="K16" s="2">
        <v>0.7</v>
      </c>
      <c r="L16" s="2">
        <v>0</v>
      </c>
      <c r="M16" s="2">
        <v>0</v>
      </c>
      <c r="N16" s="2">
        <v>33.700000000000003</v>
      </c>
      <c r="O16" s="2">
        <v>0.1</v>
      </c>
      <c r="P16" s="45">
        <v>0.30416666666666664</v>
      </c>
      <c r="Q16" s="10"/>
      <c r="R16" s="41"/>
      <c r="S16" s="30">
        <f t="shared" si="3"/>
        <v>8.6210000000000022</v>
      </c>
      <c r="T16" s="30">
        <v>10</v>
      </c>
      <c r="U16" s="30">
        <f t="shared" si="4"/>
        <v>9.9999999999994316E-2</v>
      </c>
      <c r="V16" s="30">
        <f t="shared" si="13"/>
        <v>7.929606625258348E-2</v>
      </c>
      <c r="W16" s="30">
        <f t="shared" si="5"/>
        <v>2.0703933747410835E-2</v>
      </c>
      <c r="X16" s="30">
        <f>V16+V15+V14+V13+V12+V11+V10+V9+V8+V7+V6</f>
        <v>5.2335403726708032</v>
      </c>
      <c r="Y16" s="30">
        <f t="shared" si="14"/>
        <v>1.6164596273291965</v>
      </c>
      <c r="Z16" s="30">
        <f t="shared" si="6"/>
        <v>8.6417039337474133</v>
      </c>
      <c r="AA16" s="31">
        <f t="shared" si="7"/>
        <v>0.18705334500255555</v>
      </c>
      <c r="AC16" s="18"/>
      <c r="AD16" s="18"/>
      <c r="AE16" s="24"/>
      <c r="AF16" s="25"/>
      <c r="AG16" s="19">
        <v>7</v>
      </c>
      <c r="AH16" s="19">
        <f t="shared" si="8"/>
        <v>0</v>
      </c>
      <c r="AI16" s="19">
        <f t="shared" si="0"/>
        <v>76</v>
      </c>
      <c r="AJ16" s="21">
        <v>0.28699999999999998</v>
      </c>
      <c r="AK16" s="19">
        <f t="shared" si="9"/>
        <v>4.9141345399999994E-2</v>
      </c>
      <c r="AL16" s="19">
        <f t="shared" si="10"/>
        <v>7.0045403726708102</v>
      </c>
      <c r="AM16" s="19">
        <f t="shared" si="11"/>
        <v>175.43272227951664</v>
      </c>
      <c r="AN16" s="19">
        <f t="shared" si="1"/>
        <v>142.53863657283611</v>
      </c>
      <c r="AO16" s="19">
        <f t="shared" si="12"/>
        <v>0.23009301268746049</v>
      </c>
      <c r="AP16" s="19">
        <f t="shared" si="2"/>
        <v>175.43272227951664</v>
      </c>
      <c r="AQ16" s="35"/>
      <c r="AT16" s="10"/>
      <c r="AU16" s="10"/>
      <c r="AV16" s="10"/>
      <c r="AW16" s="10"/>
    </row>
    <row r="17" spans="2:49" x14ac:dyDescent="0.25">
      <c r="B17" s="6" t="s">
        <v>269</v>
      </c>
      <c r="C17" s="5">
        <v>18.399999999999999</v>
      </c>
      <c r="D17" s="2">
        <v>13</v>
      </c>
      <c r="E17" s="2">
        <v>13</v>
      </c>
      <c r="F17" s="2">
        <v>13</v>
      </c>
      <c r="G17" s="2">
        <v>20</v>
      </c>
      <c r="H17" s="2">
        <v>4.2</v>
      </c>
      <c r="I17" s="2">
        <v>1</v>
      </c>
      <c r="J17" s="2">
        <v>0</v>
      </c>
      <c r="K17" s="2">
        <v>0.7</v>
      </c>
      <c r="L17" s="2">
        <v>0</v>
      </c>
      <c r="M17" s="2">
        <v>0</v>
      </c>
      <c r="N17" s="2">
        <v>33.700000000000003</v>
      </c>
      <c r="O17" s="2">
        <v>0</v>
      </c>
      <c r="P17" s="45">
        <v>0.32847222222222222</v>
      </c>
      <c r="Q17" s="10"/>
      <c r="R17" s="41"/>
      <c r="S17" s="30">
        <f t="shared" si="3"/>
        <v>8.6210000000000022</v>
      </c>
      <c r="T17" s="30">
        <v>11</v>
      </c>
      <c r="U17" s="30">
        <f t="shared" si="4"/>
        <v>0</v>
      </c>
      <c r="V17" s="30">
        <f t="shared" si="13"/>
        <v>0</v>
      </c>
      <c r="W17" s="30">
        <f t="shared" si="5"/>
        <v>0</v>
      </c>
      <c r="X17" s="30">
        <f>V17+V16+V15+V14+V13+V12+V11+V10+V9+V8+V7+V6</f>
        <v>5.2335403726708032</v>
      </c>
      <c r="Y17" s="30">
        <f t="shared" si="14"/>
        <v>1.6164596273291965</v>
      </c>
      <c r="Z17" s="30">
        <f t="shared" si="6"/>
        <v>8.6210000000000022</v>
      </c>
      <c r="AA17" s="31">
        <f t="shared" si="7"/>
        <v>0.18750256667778634</v>
      </c>
      <c r="AC17" s="18"/>
      <c r="AD17" s="18"/>
      <c r="AE17" s="24"/>
      <c r="AF17" s="25"/>
      <c r="AG17" s="19">
        <v>8</v>
      </c>
      <c r="AH17" s="19">
        <f t="shared" si="8"/>
        <v>1</v>
      </c>
      <c r="AI17" s="19">
        <f t="shared" si="0"/>
        <v>75</v>
      </c>
      <c r="AJ17" s="21">
        <v>0.28699999999999998</v>
      </c>
      <c r="AK17" s="19">
        <f t="shared" si="9"/>
        <v>4.8494748749999997E-2</v>
      </c>
      <c r="AL17" s="19">
        <f t="shared" si="10"/>
        <v>7.0045403726708102</v>
      </c>
      <c r="AM17" s="19">
        <f t="shared" si="11"/>
        <v>177.77182524324354</v>
      </c>
      <c r="AN17" s="19">
        <f t="shared" si="1"/>
        <v>144.43915172714057</v>
      </c>
      <c r="AO17" s="19">
        <f t="shared" si="12"/>
        <v>0.23077311876679871</v>
      </c>
      <c r="AP17" s="19">
        <f t="shared" si="2"/>
        <v>177.77182524324354</v>
      </c>
      <c r="AQ17" s="35"/>
      <c r="AT17" s="10"/>
      <c r="AU17" s="10"/>
      <c r="AV17" s="10"/>
      <c r="AW17" s="10"/>
    </row>
    <row r="18" spans="2:49" x14ac:dyDescent="0.25">
      <c r="B18" s="3" t="s">
        <v>270</v>
      </c>
      <c r="C18" s="5">
        <v>19.8</v>
      </c>
      <c r="D18" s="2">
        <v>13</v>
      </c>
      <c r="E18" s="2">
        <v>13</v>
      </c>
      <c r="F18" s="2">
        <v>13</v>
      </c>
      <c r="G18" s="2">
        <v>20</v>
      </c>
      <c r="H18" s="2">
        <v>4.9000000000000004</v>
      </c>
      <c r="I18" s="2">
        <v>1</v>
      </c>
      <c r="J18" s="2">
        <v>0</v>
      </c>
      <c r="K18" s="2">
        <v>0.7</v>
      </c>
      <c r="L18" s="2">
        <v>0</v>
      </c>
      <c r="M18" s="2">
        <v>0</v>
      </c>
      <c r="N18" s="2">
        <v>33.6</v>
      </c>
      <c r="O18" s="2">
        <v>0.1</v>
      </c>
      <c r="P18" s="45">
        <v>0.31597222222222221</v>
      </c>
      <c r="Q18" s="10"/>
      <c r="R18" s="41"/>
      <c r="S18" s="30">
        <f t="shared" si="3"/>
        <v>8.5210000000000008</v>
      </c>
      <c r="T18" s="30">
        <v>12</v>
      </c>
      <c r="U18" s="30">
        <f t="shared" si="4"/>
        <v>0.10000000000000142</v>
      </c>
      <c r="V18" s="30">
        <f t="shared" si="13"/>
        <v>7.9296066252589115E-2</v>
      </c>
      <c r="W18" s="30">
        <f t="shared" si="5"/>
        <v>2.0703933747412306E-2</v>
      </c>
      <c r="X18" s="30">
        <f>V18+V17+V16+V15+V14+V13+V12+V11+V10+V9+V8+V7+V6</f>
        <v>5.3128364389233926</v>
      </c>
      <c r="Y18" s="30">
        <f t="shared" si="14"/>
        <v>1.537163561076607</v>
      </c>
      <c r="Z18" s="30">
        <f t="shared" si="6"/>
        <v>8.5417039337474137</v>
      </c>
      <c r="AA18" s="31">
        <f t="shared" si="7"/>
        <v>0.17995982686819995</v>
      </c>
      <c r="AC18" s="18"/>
      <c r="AD18" s="18"/>
      <c r="AE18" s="24"/>
      <c r="AF18" s="25"/>
      <c r="AG18" s="19">
        <v>8</v>
      </c>
      <c r="AH18" s="19">
        <f t="shared" si="8"/>
        <v>0</v>
      </c>
      <c r="AI18" s="19">
        <f t="shared" si="0"/>
        <v>76</v>
      </c>
      <c r="AJ18" s="21">
        <v>0.28699999999999998</v>
      </c>
      <c r="AK18" s="19">
        <f t="shared" si="9"/>
        <v>4.9141345399999994E-2</v>
      </c>
      <c r="AL18" s="19">
        <f t="shared" si="10"/>
        <v>6.9838364389233982</v>
      </c>
      <c r="AM18" s="19">
        <f t="shared" si="11"/>
        <v>173.39777595914177</v>
      </c>
      <c r="AN18" s="19">
        <f t="shared" si="1"/>
        <v>142.11732263487028</v>
      </c>
      <c r="AO18" s="19">
        <f t="shared" si="12"/>
        <v>0.21945245216575029</v>
      </c>
      <c r="AP18" s="19">
        <f t="shared" si="2"/>
        <v>173.39777595914177</v>
      </c>
      <c r="AQ18" s="35"/>
      <c r="AT18" s="10"/>
      <c r="AU18" s="10"/>
      <c r="AV18" s="10"/>
      <c r="AW18" s="10"/>
    </row>
    <row r="19" spans="2:49" x14ac:dyDescent="0.25">
      <c r="B19" s="12" t="s">
        <v>271</v>
      </c>
      <c r="C19" s="13">
        <v>18</v>
      </c>
      <c r="D19" s="14">
        <v>13</v>
      </c>
      <c r="E19" s="14">
        <v>13</v>
      </c>
      <c r="F19" s="14">
        <v>13</v>
      </c>
      <c r="G19" s="14">
        <v>20</v>
      </c>
      <c r="H19" s="14">
        <v>4</v>
      </c>
      <c r="I19" s="14">
        <v>0</v>
      </c>
      <c r="J19" s="14">
        <v>0</v>
      </c>
      <c r="K19" s="14">
        <v>0.7</v>
      </c>
      <c r="L19" s="14">
        <v>0</v>
      </c>
      <c r="M19" s="14">
        <v>0</v>
      </c>
      <c r="N19" s="14">
        <v>33.1</v>
      </c>
      <c r="O19" s="14">
        <v>0.5</v>
      </c>
      <c r="P19" s="51">
        <v>0.34166666666666667</v>
      </c>
      <c r="Q19" s="10"/>
      <c r="R19" s="41"/>
      <c r="S19" s="30">
        <f t="shared" si="3"/>
        <v>8.0210000000000008</v>
      </c>
      <c r="T19" s="30">
        <v>13</v>
      </c>
      <c r="U19" s="30">
        <f t="shared" si="4"/>
        <v>0.5</v>
      </c>
      <c r="V19" s="30">
        <f t="shared" si="13"/>
        <v>0.39648033126293997</v>
      </c>
      <c r="W19" s="30">
        <f t="shared" si="5"/>
        <v>0.10351966873706003</v>
      </c>
      <c r="X19" s="30">
        <f>V19+V18+V17+V16+V15+V14+V13+V12+V11+V10+V9+V8+V7+V6</f>
        <v>5.7093167701863319</v>
      </c>
      <c r="Y19" s="30">
        <f t="shared" si="14"/>
        <v>1.1406832298136678</v>
      </c>
      <c r="Z19" s="30">
        <f t="shared" si="6"/>
        <v>8.1245196687370616</v>
      </c>
      <c r="AA19" s="31">
        <f t="shared" si="7"/>
        <v>0.14040008225999956</v>
      </c>
      <c r="AC19" s="18"/>
      <c r="AD19" s="18"/>
      <c r="AE19" s="26" t="s">
        <v>310</v>
      </c>
      <c r="AF19" s="27">
        <v>1760</v>
      </c>
      <c r="AG19" s="19">
        <v>8</v>
      </c>
      <c r="AH19" s="19">
        <f t="shared" si="8"/>
        <v>0</v>
      </c>
      <c r="AI19" s="19">
        <f t="shared" si="0"/>
        <v>76</v>
      </c>
      <c r="AJ19" s="21">
        <v>0.28699999999999998</v>
      </c>
      <c r="AK19" s="19">
        <f t="shared" si="9"/>
        <v>4.9141345399999994E-2</v>
      </c>
      <c r="AL19" s="19">
        <f t="shared" si="10"/>
        <v>6.8803167701863384</v>
      </c>
      <c r="AM19" s="19">
        <f t="shared" si="11"/>
        <v>163.22304435726747</v>
      </c>
      <c r="AN19" s="19">
        <f t="shared" si="1"/>
        <v>140.01075294504125</v>
      </c>
      <c r="AO19" s="19">
        <f t="shared" si="12"/>
        <v>0.16333189355011757</v>
      </c>
      <c r="AP19" s="19">
        <f t="shared" si="2"/>
        <v>163.22304435726747</v>
      </c>
      <c r="AQ19" s="35"/>
      <c r="AT19" s="48"/>
      <c r="AU19" s="48"/>
      <c r="AV19" s="48"/>
      <c r="AW19" s="10"/>
    </row>
    <row r="20" spans="2:49" x14ac:dyDescent="0.25">
      <c r="B20" s="39"/>
      <c r="C20" s="3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42"/>
      <c r="Q20" s="39"/>
      <c r="R20" s="41"/>
      <c r="S20" s="30"/>
      <c r="T20" s="30"/>
      <c r="U20" s="30"/>
      <c r="V20" s="30"/>
      <c r="W20" s="30"/>
      <c r="X20" s="30"/>
      <c r="Y20" s="30"/>
      <c r="Z20" s="30"/>
      <c r="AA20" s="31"/>
      <c r="AG20" s="19"/>
      <c r="AH20" s="19"/>
      <c r="AI20" s="19"/>
      <c r="AJ20" s="21"/>
      <c r="AK20" s="19"/>
      <c r="AL20" s="19"/>
      <c r="AM20" s="19"/>
      <c r="AN20" s="19"/>
      <c r="AO20" s="19"/>
      <c r="AP20" s="19"/>
      <c r="AQ20" s="35"/>
      <c r="AT20" s="10"/>
      <c r="AU20" s="10"/>
      <c r="AV20" s="10"/>
      <c r="AW20" s="10"/>
    </row>
    <row r="21" spans="2:49" x14ac:dyDescent="0.25">
      <c r="B21" s="39"/>
      <c r="C21" s="3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42"/>
      <c r="Q21" s="10"/>
      <c r="R21" s="42"/>
      <c r="S21" s="30"/>
      <c r="T21" s="30"/>
      <c r="U21" s="30"/>
      <c r="V21" s="30"/>
      <c r="W21" s="30"/>
      <c r="X21" s="30"/>
      <c r="Y21" s="30"/>
      <c r="Z21" s="30"/>
      <c r="AA21" s="31"/>
      <c r="AG21" s="19"/>
      <c r="AH21" s="19"/>
      <c r="AI21" s="19"/>
      <c r="AJ21" s="21"/>
      <c r="AK21" s="19"/>
      <c r="AL21" s="19"/>
      <c r="AM21" s="19"/>
      <c r="AN21" s="19"/>
      <c r="AO21" s="19"/>
      <c r="AP21" s="19"/>
      <c r="AQ21" s="35"/>
      <c r="AT21" s="10"/>
      <c r="AU21" s="10"/>
      <c r="AV21" s="10"/>
    </row>
    <row r="22" spans="2:49" x14ac:dyDescent="0.25">
      <c r="B22" s="63" t="s">
        <v>303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10"/>
      <c r="R22" s="42"/>
      <c r="S22" s="63" t="s">
        <v>305</v>
      </c>
      <c r="T22" s="63"/>
      <c r="U22" s="63"/>
      <c r="V22" s="63"/>
      <c r="W22" s="63"/>
      <c r="X22" s="63"/>
      <c r="Y22" s="63"/>
      <c r="Z22" s="63"/>
      <c r="AA22" s="63"/>
      <c r="AG22" s="63" t="s">
        <v>305</v>
      </c>
      <c r="AH22" s="63"/>
      <c r="AI22" s="63"/>
      <c r="AJ22" s="63"/>
      <c r="AK22" s="63"/>
      <c r="AL22" s="63"/>
      <c r="AM22" s="63"/>
      <c r="AN22" s="63"/>
      <c r="AO22" s="63"/>
      <c r="AP22" s="63"/>
      <c r="AQ22" s="35"/>
      <c r="AT22" s="10"/>
      <c r="AU22" s="10"/>
      <c r="AV22" s="10"/>
    </row>
    <row r="23" spans="2:49" x14ac:dyDescent="0.25">
      <c r="Q23" s="10"/>
      <c r="R23" s="42"/>
      <c r="AQ23" s="35"/>
      <c r="AT23" s="10"/>
      <c r="AU23" s="10"/>
      <c r="AV23" s="10"/>
    </row>
    <row r="24" spans="2:49" x14ac:dyDescent="0.25">
      <c r="B24" s="39"/>
      <c r="C24" s="3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42"/>
      <c r="Q24" s="10"/>
      <c r="R24" s="42"/>
      <c r="S24" t="s">
        <v>313</v>
      </c>
      <c r="X24" s="8">
        <v>6.85</v>
      </c>
      <c r="Y24" s="30"/>
      <c r="Z24" s="30"/>
      <c r="AA24" s="31"/>
      <c r="AG24" s="19"/>
      <c r="AH24" s="19"/>
      <c r="AI24" s="19"/>
      <c r="AJ24" s="21"/>
      <c r="AK24" s="19"/>
      <c r="AL24" s="19"/>
      <c r="AM24" s="19"/>
      <c r="AN24" s="19"/>
      <c r="AO24" s="19"/>
      <c r="AP24" s="19"/>
      <c r="AQ24" s="35"/>
      <c r="AT24" s="10"/>
      <c r="AU24" s="10"/>
      <c r="AV24" s="10"/>
    </row>
    <row r="25" spans="2:49" x14ac:dyDescent="0.25">
      <c r="B25" s="39"/>
      <c r="C25" s="3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42"/>
      <c r="Q25" s="10"/>
      <c r="R25" s="42"/>
      <c r="S25" t="s">
        <v>312</v>
      </c>
      <c r="X25" s="8">
        <v>0.88400000000000001</v>
      </c>
      <c r="Y25" s="30"/>
      <c r="Z25" s="30"/>
      <c r="AA25" s="31"/>
      <c r="AG25" s="19"/>
      <c r="AH25" s="19"/>
      <c r="AI25" s="19"/>
      <c r="AJ25" s="21"/>
      <c r="AK25" s="19"/>
      <c r="AL25" s="19"/>
      <c r="AM25" s="19"/>
      <c r="AN25" s="19"/>
      <c r="AO25" s="19"/>
      <c r="AP25" s="19"/>
      <c r="AQ25" s="35"/>
      <c r="AT25" s="10"/>
      <c r="AU25" s="10"/>
      <c r="AV25" s="10"/>
    </row>
    <row r="26" spans="2:49" x14ac:dyDescent="0.25">
      <c r="B26" s="39"/>
      <c r="C26" s="3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2"/>
      <c r="Q26" s="10"/>
      <c r="R26" s="42"/>
      <c r="S26" t="s">
        <v>311</v>
      </c>
      <c r="X26" s="8">
        <f>S6-S19</f>
        <v>7.1999999999999957</v>
      </c>
      <c r="Y26" s="30"/>
      <c r="Z26" s="30"/>
      <c r="AA26" s="31"/>
      <c r="AG26" s="19"/>
      <c r="AH26" s="19"/>
      <c r="AI26" s="19"/>
      <c r="AJ26" s="21"/>
      <c r="AK26" s="19"/>
      <c r="AL26" s="19"/>
      <c r="AM26" s="19"/>
      <c r="AN26" s="19"/>
      <c r="AO26" s="19"/>
      <c r="AP26" s="19"/>
      <c r="AQ26" s="35"/>
      <c r="AT26" s="10"/>
      <c r="AU26" s="10"/>
      <c r="AV26" s="10"/>
    </row>
    <row r="27" spans="2:49" x14ac:dyDescent="0.25">
      <c r="B27" s="39"/>
      <c r="C27" s="3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42"/>
      <c r="S27" t="s">
        <v>314</v>
      </c>
      <c r="X27" s="8">
        <f>X24-X25</f>
        <v>5.9659999999999993</v>
      </c>
      <c r="Y27" s="30"/>
      <c r="Z27" s="30"/>
      <c r="AA27" s="31"/>
      <c r="AG27" s="19"/>
      <c r="AH27" s="19"/>
      <c r="AI27" s="19"/>
      <c r="AJ27" s="21"/>
      <c r="AK27" s="19"/>
      <c r="AL27" s="19"/>
      <c r="AM27" s="19"/>
      <c r="AN27" s="19"/>
      <c r="AO27" s="19"/>
      <c r="AP27" s="19"/>
      <c r="AQ27" s="35"/>
      <c r="AT27" s="10"/>
      <c r="AU27" s="10"/>
      <c r="AV27" s="10"/>
    </row>
    <row r="28" spans="2:49" x14ac:dyDescent="0.25">
      <c r="S28" t="s">
        <v>315</v>
      </c>
      <c r="X28" s="8">
        <f>X26-X27</f>
        <v>1.2339999999999964</v>
      </c>
      <c r="AQ28" s="35"/>
    </row>
    <row r="29" spans="2:49" x14ac:dyDescent="0.25">
      <c r="AQ29" s="35"/>
    </row>
    <row r="30" spans="2:49" x14ac:dyDescent="0.25">
      <c r="S30" t="s">
        <v>316</v>
      </c>
      <c r="X30" s="29">
        <f>X27/X28</f>
        <v>4.8346839546191385</v>
      </c>
      <c r="AQ30" s="35"/>
    </row>
    <row r="31" spans="2:49" x14ac:dyDescent="0.25">
      <c r="AQ31" s="35"/>
    </row>
    <row r="32" spans="2:49" x14ac:dyDescent="0.25">
      <c r="AQ32" s="35"/>
    </row>
    <row r="33" spans="1:43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4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8"/>
    </row>
    <row r="35" spans="1:43" x14ac:dyDescent="0.25">
      <c r="Y35" s="18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410" spans="46:46" x14ac:dyDescent="0.25">
      <c r="AT410" s="7"/>
    </row>
    <row r="554" spans="46:46" x14ac:dyDescent="0.25">
      <c r="AT554" s="7"/>
    </row>
    <row r="684" spans="46:46" x14ac:dyDescent="0.25">
      <c r="AT684" s="7"/>
    </row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</sheetData>
  <mergeCells count="3">
    <mergeCell ref="B22:P22"/>
    <mergeCell ref="S22:AA22"/>
    <mergeCell ref="AG22:AP2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3AF66-57BC-4174-A95E-11371E1C4646}">
  <dimension ref="A1:AW1314"/>
  <sheetViews>
    <sheetView topLeftCell="F1" zoomScale="55" zoomScaleNormal="55" workbookViewId="0">
      <selection activeCell="X11" sqref="X11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4.710937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</cols>
  <sheetData>
    <row r="1" spans="2:49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9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9" x14ac:dyDescent="0.25">
      <c r="L3" s="9"/>
      <c r="M3" s="10"/>
      <c r="AQ3" s="35"/>
    </row>
    <row r="4" spans="2:49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386</v>
      </c>
      <c r="W4" s="17" t="s">
        <v>387</v>
      </c>
      <c r="X4" s="17" t="s">
        <v>388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9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9" x14ac:dyDescent="0.25">
      <c r="B6" s="3" t="s">
        <v>272</v>
      </c>
      <c r="C6" s="5">
        <v>38.1</v>
      </c>
      <c r="D6" s="2">
        <v>5</v>
      </c>
      <c r="E6" s="2">
        <v>5</v>
      </c>
      <c r="F6" s="2">
        <v>5</v>
      </c>
      <c r="G6" s="2">
        <v>20</v>
      </c>
      <c r="H6" s="2">
        <v>0.4</v>
      </c>
      <c r="I6" s="2">
        <v>0</v>
      </c>
      <c r="J6" s="2">
        <v>0</v>
      </c>
      <c r="K6" s="2">
        <v>20.9</v>
      </c>
      <c r="L6" s="2">
        <v>0</v>
      </c>
      <c r="M6" s="2">
        <v>0</v>
      </c>
      <c r="N6" s="2">
        <v>44</v>
      </c>
      <c r="O6" s="2">
        <v>0</v>
      </c>
      <c r="P6" s="45">
        <v>0.54861111111111116</v>
      </c>
      <c r="Q6" s="10"/>
      <c r="R6" s="41"/>
      <c r="S6" s="30">
        <f>N6-24.974</f>
        <v>19.026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8.56</v>
      </c>
      <c r="Z6" s="30">
        <f>S6-V6</f>
        <v>19.026</v>
      </c>
      <c r="AA6" s="31">
        <f>Y6/Z6</f>
        <v>0.44991064858614532</v>
      </c>
      <c r="AC6" s="18"/>
      <c r="AD6" s="18">
        <v>1000</v>
      </c>
      <c r="AE6" s="22" t="s">
        <v>309</v>
      </c>
      <c r="AF6" s="23">
        <v>1550</v>
      </c>
      <c r="AG6" s="19">
        <v>0</v>
      </c>
      <c r="AH6" s="19">
        <v>0</v>
      </c>
      <c r="AI6" s="19">
        <f t="shared" ref="AI6:AI18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10.465999999999999</v>
      </c>
      <c r="AM6" s="19">
        <f>S6/AK6</f>
        <v>387.16888691452073</v>
      </c>
      <c r="AN6" s="19">
        <f t="shared" ref="AN6:AN18" si="1">AL6/AK6</f>
        <v>212.97748189043276</v>
      </c>
      <c r="AO6" s="19">
        <f>(AA6/(1-AA6))</f>
        <v>0.81788648958532395</v>
      </c>
      <c r="AP6" s="19">
        <f t="shared" ref="AP6:AP18" si="2">AM6/(1+AQ6)</f>
        <v>387.16888691452073</v>
      </c>
      <c r="AQ6" s="35"/>
      <c r="AS6" s="10"/>
      <c r="AT6" s="10"/>
      <c r="AU6" s="10"/>
      <c r="AV6" s="48"/>
      <c r="AW6" s="10"/>
    </row>
    <row r="7" spans="2:49" x14ac:dyDescent="0.25">
      <c r="B7" s="3" t="s">
        <v>273</v>
      </c>
      <c r="C7" s="5">
        <v>40.4</v>
      </c>
      <c r="D7" s="2">
        <v>6</v>
      </c>
      <c r="E7" s="2">
        <v>6</v>
      </c>
      <c r="F7" s="2">
        <v>6</v>
      </c>
      <c r="G7" s="2">
        <v>20</v>
      </c>
      <c r="H7" s="2">
        <v>92.9</v>
      </c>
      <c r="I7" s="2">
        <v>0</v>
      </c>
      <c r="J7" s="2">
        <v>0</v>
      </c>
      <c r="K7" s="2">
        <v>0.7</v>
      </c>
      <c r="L7" s="2">
        <v>0</v>
      </c>
      <c r="M7" s="2">
        <v>0</v>
      </c>
      <c r="N7" s="2">
        <v>41.5</v>
      </c>
      <c r="O7" s="2">
        <v>2.5</v>
      </c>
      <c r="P7" s="45">
        <v>0.3263888888888889</v>
      </c>
      <c r="Q7" s="10"/>
      <c r="R7" s="41"/>
      <c r="S7" s="30">
        <f t="shared" ref="S7:S18" si="3">N7-24.974</f>
        <v>16.526</v>
      </c>
      <c r="T7" s="30">
        <v>1</v>
      </c>
      <c r="U7" s="30">
        <f t="shared" ref="U7:U18" si="4">S6-S7</f>
        <v>2.5</v>
      </c>
      <c r="V7" s="30">
        <f>U7-(U7/8.52)</f>
        <v>2.2065727699530515</v>
      </c>
      <c r="W7" s="30">
        <f t="shared" ref="W7:W18" si="5">U7-V7</f>
        <v>0.29342723004694848</v>
      </c>
      <c r="X7" s="30">
        <f>V7+V6</f>
        <v>2.2065727699530515</v>
      </c>
      <c r="Y7" s="30">
        <f>8.56-X7</f>
        <v>6.3534272300469485</v>
      </c>
      <c r="Z7" s="30">
        <f t="shared" ref="Z7:Z18" si="6">S6-V7</f>
        <v>16.819427230046948</v>
      </c>
      <c r="AA7" s="31">
        <f t="shared" ref="AA7:AA18" si="7">Y7/Z7</f>
        <v>0.37774337634380989</v>
      </c>
      <c r="AC7" s="18"/>
      <c r="AD7" s="18"/>
      <c r="AE7" s="24"/>
      <c r="AF7" s="25"/>
      <c r="AG7" s="19">
        <v>1</v>
      </c>
      <c r="AH7" s="19">
        <f t="shared" ref="AH7:AH18" si="8">AG7-AG6</f>
        <v>1</v>
      </c>
      <c r="AI7" s="19">
        <f t="shared" si="0"/>
        <v>75</v>
      </c>
      <c r="AJ7" s="21">
        <v>0.28699999999999998</v>
      </c>
      <c r="AK7" s="19">
        <f t="shared" ref="AK7:AK18" si="9">((($AJ$6*$AJ$6)*3.14)/4)*(AI7/100)</f>
        <v>4.8494748749999997E-2</v>
      </c>
      <c r="AL7" s="19">
        <f t="shared" ref="AL7:AL18" si="10">AL6-W7</f>
        <v>10.172572769953051</v>
      </c>
      <c r="AM7" s="19">
        <f t="shared" ref="AM7:AM18" si="11">S7/AK7</f>
        <v>340.77916529055119</v>
      </c>
      <c r="AN7" s="19">
        <f t="shared" si="1"/>
        <v>209.76648053987603</v>
      </c>
      <c r="AO7" s="19">
        <f t="shared" ref="AO7:AO18" si="12">(AA7/(1-AA7))</f>
        <v>0.6070540063106199</v>
      </c>
      <c r="AP7" s="19">
        <f t="shared" si="2"/>
        <v>340.77916529055119</v>
      </c>
      <c r="AQ7" s="35"/>
      <c r="AS7" s="10"/>
      <c r="AT7" s="10"/>
      <c r="AU7" s="10"/>
      <c r="AV7" s="48"/>
      <c r="AW7" s="10"/>
    </row>
    <row r="8" spans="2:49" x14ac:dyDescent="0.25">
      <c r="B8" s="3" t="s">
        <v>274</v>
      </c>
      <c r="C8" s="5">
        <v>29.8</v>
      </c>
      <c r="D8" s="2">
        <v>7</v>
      </c>
      <c r="E8" s="2">
        <v>7</v>
      </c>
      <c r="F8" s="2">
        <v>7</v>
      </c>
      <c r="G8" s="2">
        <v>20</v>
      </c>
      <c r="H8" s="2">
        <v>10.6</v>
      </c>
      <c r="I8" s="2">
        <v>1</v>
      </c>
      <c r="J8" s="2">
        <v>0</v>
      </c>
      <c r="K8" s="2">
        <v>0.7</v>
      </c>
      <c r="L8" s="2">
        <v>0</v>
      </c>
      <c r="M8" s="2">
        <v>0</v>
      </c>
      <c r="N8" s="2">
        <v>39.299999999999997</v>
      </c>
      <c r="O8" s="2">
        <v>2.2000000000000002</v>
      </c>
      <c r="P8" s="45">
        <v>0.29930555555555555</v>
      </c>
      <c r="Q8" s="10"/>
      <c r="R8" s="41"/>
      <c r="S8" s="30">
        <f t="shared" si="3"/>
        <v>14.325999999999997</v>
      </c>
      <c r="T8" s="30">
        <v>2</v>
      </c>
      <c r="U8" s="30">
        <f t="shared" si="4"/>
        <v>2.2000000000000028</v>
      </c>
      <c r="V8" s="30">
        <f t="shared" ref="V8:V18" si="13">U8-(U8/8.52)</f>
        <v>1.9417840375586879</v>
      </c>
      <c r="W8" s="30">
        <f t="shared" si="5"/>
        <v>0.25821596244131495</v>
      </c>
      <c r="X8" s="30">
        <f>V7+V8+V6</f>
        <v>4.148356807511739</v>
      </c>
      <c r="Y8" s="30">
        <f t="shared" ref="Y8:Y18" si="14">8.56-X8</f>
        <v>4.4116431924882615</v>
      </c>
      <c r="Z8" s="30">
        <f t="shared" si="6"/>
        <v>14.584215962441313</v>
      </c>
      <c r="AA8" s="31">
        <f t="shared" si="7"/>
        <v>0.30249436814769837</v>
      </c>
      <c r="AC8" s="18"/>
      <c r="AD8" s="18"/>
      <c r="AE8" s="24"/>
      <c r="AF8" s="25"/>
      <c r="AG8" s="19">
        <v>2</v>
      </c>
      <c r="AH8" s="19">
        <f t="shared" si="8"/>
        <v>1</v>
      </c>
      <c r="AI8" s="19">
        <f t="shared" si="0"/>
        <v>75</v>
      </c>
      <c r="AJ8" s="21">
        <v>0.28699999999999998</v>
      </c>
      <c r="AK8" s="19">
        <f t="shared" si="9"/>
        <v>4.8494748749999997E-2</v>
      </c>
      <c r="AL8" s="19">
        <f t="shared" si="10"/>
        <v>9.9143568075117372</v>
      </c>
      <c r="AM8" s="19">
        <f t="shared" si="11"/>
        <v>295.41342865499428</v>
      </c>
      <c r="AN8" s="19">
        <f t="shared" si="1"/>
        <v>204.44186356387169</v>
      </c>
      <c r="AO8" s="19">
        <f t="shared" si="12"/>
        <v>0.43368018025086313</v>
      </c>
      <c r="AP8" s="19">
        <f t="shared" si="2"/>
        <v>295.41342865499428</v>
      </c>
      <c r="AQ8" s="35"/>
      <c r="AS8" s="10"/>
      <c r="AT8" s="10"/>
      <c r="AU8" s="10"/>
      <c r="AV8" s="48"/>
      <c r="AW8" s="10"/>
    </row>
    <row r="9" spans="2:49" x14ac:dyDescent="0.25">
      <c r="B9" s="3" t="s">
        <v>275</v>
      </c>
      <c r="C9" s="5">
        <v>20.100000000000001</v>
      </c>
      <c r="D9" s="2">
        <v>8</v>
      </c>
      <c r="E9" s="2">
        <v>8</v>
      </c>
      <c r="F9" s="2">
        <v>8</v>
      </c>
      <c r="G9" s="2">
        <v>20</v>
      </c>
      <c r="H9" s="2">
        <v>5.4</v>
      </c>
      <c r="I9" s="2">
        <v>1</v>
      </c>
      <c r="J9" s="2">
        <v>0</v>
      </c>
      <c r="K9" s="2">
        <v>0.6</v>
      </c>
      <c r="L9" s="2">
        <v>0</v>
      </c>
      <c r="M9" s="2">
        <v>0</v>
      </c>
      <c r="N9" s="2">
        <v>38.9</v>
      </c>
      <c r="O9" s="2">
        <v>0.4</v>
      </c>
      <c r="P9" s="45">
        <v>0.29791666666666666</v>
      </c>
      <c r="Q9" s="10"/>
      <c r="R9" s="41"/>
      <c r="S9" s="30">
        <f t="shared" si="3"/>
        <v>13.925999999999998</v>
      </c>
      <c r="T9" s="30">
        <v>3</v>
      </c>
      <c r="U9" s="30">
        <f t="shared" si="4"/>
        <v>0.39999999999999858</v>
      </c>
      <c r="V9" s="30">
        <f t="shared" si="13"/>
        <v>0.353051643192487</v>
      </c>
      <c r="W9" s="30">
        <f t="shared" si="5"/>
        <v>4.6948356807511582E-2</v>
      </c>
      <c r="X9" s="30">
        <f>V9+V8+V7+V6</f>
        <v>4.5014084507042265</v>
      </c>
      <c r="Y9" s="30">
        <f t="shared" si="14"/>
        <v>4.058591549295774</v>
      </c>
      <c r="Z9" s="30">
        <f t="shared" si="6"/>
        <v>13.97294835680751</v>
      </c>
      <c r="AA9" s="31">
        <f t="shared" si="7"/>
        <v>0.29046064192446974</v>
      </c>
      <c r="AC9" s="18"/>
      <c r="AD9" s="18"/>
      <c r="AE9" s="24"/>
      <c r="AF9" s="25"/>
      <c r="AG9" s="19">
        <v>3</v>
      </c>
      <c r="AH9" s="19">
        <f t="shared" si="8"/>
        <v>1</v>
      </c>
      <c r="AI9" s="19">
        <f t="shared" si="0"/>
        <v>75</v>
      </c>
      <c r="AJ9" s="21">
        <v>0.28699999999999998</v>
      </c>
      <c r="AK9" s="19">
        <f t="shared" si="9"/>
        <v>4.8494748749999997E-2</v>
      </c>
      <c r="AL9" s="19">
        <f t="shared" si="10"/>
        <v>9.8674084507042252</v>
      </c>
      <c r="AM9" s="19">
        <f t="shared" si="11"/>
        <v>287.16511290307488</v>
      </c>
      <c r="AN9" s="19">
        <f t="shared" si="1"/>
        <v>203.47375138641635</v>
      </c>
      <c r="AO9" s="19">
        <f t="shared" si="12"/>
        <v>0.40936508823454199</v>
      </c>
      <c r="AP9" s="19">
        <f t="shared" si="2"/>
        <v>287.16511290307488</v>
      </c>
      <c r="AQ9" s="35"/>
      <c r="AS9" s="10"/>
      <c r="AT9" s="10"/>
      <c r="AU9" s="10"/>
      <c r="AV9" s="48"/>
      <c r="AW9" s="10"/>
    </row>
    <row r="10" spans="2:49" x14ac:dyDescent="0.25">
      <c r="B10" s="3" t="s">
        <v>276</v>
      </c>
      <c r="C10" s="5">
        <v>20.100000000000001</v>
      </c>
      <c r="D10" s="2">
        <v>8</v>
      </c>
      <c r="E10" s="2">
        <v>8</v>
      </c>
      <c r="F10" s="2">
        <v>8</v>
      </c>
      <c r="G10" s="2">
        <v>20</v>
      </c>
      <c r="H10" s="2">
        <v>5.0999999999999996</v>
      </c>
      <c r="I10" s="2">
        <v>0</v>
      </c>
      <c r="J10" s="2">
        <v>0</v>
      </c>
      <c r="K10" s="2">
        <v>0.7</v>
      </c>
      <c r="L10" s="2">
        <v>0</v>
      </c>
      <c r="M10" s="2">
        <v>0</v>
      </c>
      <c r="N10" s="2">
        <v>38.700000000000003</v>
      </c>
      <c r="O10" s="2">
        <v>0.2</v>
      </c>
      <c r="P10" s="45">
        <v>0.32291666666666669</v>
      </c>
      <c r="Q10" s="10"/>
      <c r="R10" s="41"/>
      <c r="S10" s="30">
        <f t="shared" si="3"/>
        <v>13.726000000000003</v>
      </c>
      <c r="T10" s="30">
        <v>4</v>
      </c>
      <c r="U10" s="30">
        <f t="shared" si="4"/>
        <v>0.19999999999999574</v>
      </c>
      <c r="V10" s="30">
        <f t="shared" si="13"/>
        <v>0.17652582159624036</v>
      </c>
      <c r="W10" s="30">
        <f t="shared" si="5"/>
        <v>2.3474178403755375E-2</v>
      </c>
      <c r="X10" s="30">
        <f>V10+V9+V8+V7+V6</f>
        <v>4.6779342723004671</v>
      </c>
      <c r="Y10" s="30">
        <f t="shared" si="14"/>
        <v>3.8820657276995334</v>
      </c>
      <c r="Z10" s="30">
        <f t="shared" si="6"/>
        <v>13.749474178403759</v>
      </c>
      <c r="AA10" s="31">
        <f t="shared" si="7"/>
        <v>0.2823428501576502</v>
      </c>
      <c r="AC10" s="18"/>
      <c r="AD10" s="18"/>
      <c r="AE10" s="24"/>
      <c r="AF10" s="25"/>
      <c r="AG10" s="19">
        <v>3</v>
      </c>
      <c r="AH10" s="19">
        <f t="shared" si="8"/>
        <v>0</v>
      </c>
      <c r="AI10" s="19">
        <f t="shared" si="0"/>
        <v>76</v>
      </c>
      <c r="AJ10" s="21">
        <v>0.28699999999999998</v>
      </c>
      <c r="AK10" s="19">
        <f t="shared" si="9"/>
        <v>4.9141345399999994E-2</v>
      </c>
      <c r="AL10" s="19">
        <f t="shared" si="10"/>
        <v>9.8439342723004692</v>
      </c>
      <c r="AM10" s="19">
        <f t="shared" si="11"/>
        <v>279.31673193465321</v>
      </c>
      <c r="AN10" s="19">
        <f t="shared" si="1"/>
        <v>200.31877825429808</v>
      </c>
      <c r="AO10" s="19">
        <f t="shared" si="12"/>
        <v>0.39342302967325471</v>
      </c>
      <c r="AP10" s="19">
        <f t="shared" si="2"/>
        <v>279.31673193465321</v>
      </c>
      <c r="AQ10" s="35"/>
      <c r="AS10" s="10"/>
      <c r="AT10" s="10"/>
      <c r="AU10" s="10"/>
      <c r="AV10" s="48"/>
      <c r="AW10" s="10"/>
    </row>
    <row r="11" spans="2:49" x14ac:dyDescent="0.25">
      <c r="B11" s="3" t="s">
        <v>277</v>
      </c>
      <c r="C11" s="5">
        <v>20.3</v>
      </c>
      <c r="D11" s="2">
        <v>9</v>
      </c>
      <c r="E11" s="2">
        <v>9</v>
      </c>
      <c r="F11" s="2">
        <v>9</v>
      </c>
      <c r="G11" s="2">
        <v>20</v>
      </c>
      <c r="H11" s="2">
        <v>5</v>
      </c>
      <c r="I11" s="2">
        <v>0</v>
      </c>
      <c r="J11" s="2">
        <v>0</v>
      </c>
      <c r="K11" s="2">
        <v>0.7</v>
      </c>
      <c r="L11" s="2">
        <v>0</v>
      </c>
      <c r="M11" s="2">
        <v>0</v>
      </c>
      <c r="N11" s="2">
        <v>38.5</v>
      </c>
      <c r="O11" s="2">
        <v>0.2</v>
      </c>
      <c r="P11" s="45">
        <v>0.3215277777777778</v>
      </c>
      <c r="Q11" s="10"/>
      <c r="R11" s="41"/>
      <c r="S11" s="30">
        <f t="shared" si="3"/>
        <v>13.526</v>
      </c>
      <c r="T11" s="30">
        <v>5</v>
      </c>
      <c r="U11" s="30">
        <f t="shared" si="4"/>
        <v>0.20000000000000284</v>
      </c>
      <c r="V11" s="30">
        <f t="shared" si="13"/>
        <v>0.17652582159624663</v>
      </c>
      <c r="W11" s="30">
        <f t="shared" si="5"/>
        <v>2.3474178403756207E-2</v>
      </c>
      <c r="X11" s="30">
        <f>V11+V10+V9+V8+V7+V6</f>
        <v>4.854460093896714</v>
      </c>
      <c r="Y11" s="30">
        <f t="shared" si="14"/>
        <v>3.7055399061032865</v>
      </c>
      <c r="Z11" s="30">
        <f t="shared" si="6"/>
        <v>13.549474178403756</v>
      </c>
      <c r="AA11" s="31">
        <f t="shared" si="7"/>
        <v>0.27348219254216333</v>
      </c>
      <c r="AC11" s="18"/>
      <c r="AD11" s="18"/>
      <c r="AE11" s="24"/>
      <c r="AF11" s="25"/>
      <c r="AG11" s="19">
        <v>4</v>
      </c>
      <c r="AH11" s="19">
        <f t="shared" si="8"/>
        <v>1</v>
      </c>
      <c r="AI11" s="19">
        <f t="shared" si="0"/>
        <v>75</v>
      </c>
      <c r="AJ11" s="21">
        <v>0.28699999999999998</v>
      </c>
      <c r="AK11" s="19">
        <f t="shared" si="9"/>
        <v>4.8494748749999997E-2</v>
      </c>
      <c r="AL11" s="19">
        <f t="shared" si="10"/>
        <v>9.8204600938967133</v>
      </c>
      <c r="AM11" s="19">
        <f t="shared" si="11"/>
        <v>278.91679715115549</v>
      </c>
      <c r="AN11" s="19">
        <f t="shared" si="1"/>
        <v>202.50563920896104</v>
      </c>
      <c r="AO11" s="19">
        <f t="shared" si="12"/>
        <v>0.37642875334206427</v>
      </c>
      <c r="AP11" s="19">
        <f t="shared" si="2"/>
        <v>278.91679715115549</v>
      </c>
      <c r="AQ11" s="35"/>
      <c r="AS11" s="10"/>
      <c r="AT11" s="10"/>
      <c r="AU11" s="10"/>
      <c r="AV11" s="48"/>
      <c r="AW11" s="10"/>
    </row>
    <row r="12" spans="2:49" x14ac:dyDescent="0.25">
      <c r="B12" s="3" t="s">
        <v>278</v>
      </c>
      <c r="C12" s="5">
        <v>13.3</v>
      </c>
      <c r="D12" s="2">
        <v>9</v>
      </c>
      <c r="E12" s="2">
        <v>9</v>
      </c>
      <c r="F12" s="2">
        <v>9</v>
      </c>
      <c r="G12" s="2">
        <v>20</v>
      </c>
      <c r="H12" s="2">
        <v>4.3</v>
      </c>
      <c r="I12" s="2">
        <v>1</v>
      </c>
      <c r="J12" s="2">
        <v>0</v>
      </c>
      <c r="K12" s="2">
        <v>0.7</v>
      </c>
      <c r="L12" s="2">
        <v>0</v>
      </c>
      <c r="M12" s="2">
        <v>0</v>
      </c>
      <c r="N12" s="2">
        <v>38</v>
      </c>
      <c r="O12" s="2">
        <v>0.5</v>
      </c>
      <c r="P12" s="45">
        <v>0.30486111111111114</v>
      </c>
      <c r="Q12" s="10"/>
      <c r="R12" s="41"/>
      <c r="S12" s="30">
        <f t="shared" si="3"/>
        <v>13.026</v>
      </c>
      <c r="T12" s="30">
        <v>6</v>
      </c>
      <c r="U12" s="30">
        <f t="shared" si="4"/>
        <v>0.5</v>
      </c>
      <c r="V12" s="30">
        <f t="shared" si="13"/>
        <v>0.44131455399061031</v>
      </c>
      <c r="W12" s="30">
        <f t="shared" si="5"/>
        <v>5.8685446009389686E-2</v>
      </c>
      <c r="X12" s="30">
        <f>V12+V11+V10+V9+V8+V7+V6</f>
        <v>5.295774647887324</v>
      </c>
      <c r="Y12" s="30">
        <f t="shared" si="14"/>
        <v>3.2642253521126765</v>
      </c>
      <c r="Z12" s="30">
        <f t="shared" si="6"/>
        <v>13.08468544600939</v>
      </c>
      <c r="AA12" s="31">
        <f t="shared" si="7"/>
        <v>0.24946914968507788</v>
      </c>
      <c r="AC12" s="18"/>
      <c r="AD12" s="18"/>
      <c r="AE12" s="24"/>
      <c r="AF12" s="25"/>
      <c r="AG12" s="19">
        <v>4</v>
      </c>
      <c r="AH12" s="19">
        <f t="shared" si="8"/>
        <v>0</v>
      </c>
      <c r="AI12" s="19">
        <f t="shared" si="0"/>
        <v>76</v>
      </c>
      <c r="AJ12" s="21">
        <v>0.28699999999999998</v>
      </c>
      <c r="AK12" s="19">
        <f t="shared" si="9"/>
        <v>4.9141345399999994E-2</v>
      </c>
      <c r="AL12" s="19">
        <f t="shared" si="10"/>
        <v>9.7617746478873233</v>
      </c>
      <c r="AM12" s="19">
        <f t="shared" si="11"/>
        <v>265.07210769202914</v>
      </c>
      <c r="AN12" s="19">
        <f t="shared" si="1"/>
        <v>198.64687400046896</v>
      </c>
      <c r="AO12" s="19">
        <f t="shared" si="12"/>
        <v>0.33239026694292556</v>
      </c>
      <c r="AP12" s="19">
        <f t="shared" si="2"/>
        <v>265.07210769202914</v>
      </c>
      <c r="AQ12" s="35"/>
      <c r="AS12" s="10"/>
      <c r="AT12" s="10"/>
      <c r="AU12" s="10"/>
      <c r="AV12" s="48"/>
      <c r="AW12" s="10"/>
    </row>
    <row r="13" spans="2:49" x14ac:dyDescent="0.25">
      <c r="B13" s="3" t="s">
        <v>279</v>
      </c>
      <c r="C13" s="5">
        <v>14.4</v>
      </c>
      <c r="D13" s="2">
        <v>9</v>
      </c>
      <c r="E13" s="2">
        <v>9</v>
      </c>
      <c r="F13" s="2">
        <v>9</v>
      </c>
      <c r="G13" s="2">
        <v>20</v>
      </c>
      <c r="H13" s="2">
        <v>4.2</v>
      </c>
      <c r="I13" s="2">
        <v>1</v>
      </c>
      <c r="J13" s="2">
        <v>0</v>
      </c>
      <c r="K13" s="2">
        <v>0.7</v>
      </c>
      <c r="L13" s="2">
        <v>0</v>
      </c>
      <c r="M13" s="2">
        <v>0</v>
      </c>
      <c r="N13" s="2">
        <v>37.700000000000003</v>
      </c>
      <c r="O13" s="2">
        <v>0.3</v>
      </c>
      <c r="P13" s="45">
        <v>0.3263888888888889</v>
      </c>
      <c r="Q13" s="10"/>
      <c r="R13" s="41"/>
      <c r="S13" s="30">
        <f t="shared" si="3"/>
        <v>12.726000000000003</v>
      </c>
      <c r="T13" s="30">
        <v>7</v>
      </c>
      <c r="U13" s="30">
        <f t="shared" si="4"/>
        <v>0.29999999999999716</v>
      </c>
      <c r="V13" s="30">
        <f t="shared" si="13"/>
        <v>0.26478873239436368</v>
      </c>
      <c r="W13" s="30">
        <f t="shared" si="5"/>
        <v>3.5211267605633478E-2</v>
      </c>
      <c r="X13" s="30">
        <f>V13+V12+V11+V10+V9+V8+V7+V6</f>
        <v>5.5605633802816872</v>
      </c>
      <c r="Y13" s="30">
        <f t="shared" si="14"/>
        <v>2.9994366197183133</v>
      </c>
      <c r="Z13" s="30">
        <f t="shared" si="6"/>
        <v>12.761211267605637</v>
      </c>
      <c r="AA13" s="31">
        <f t="shared" si="7"/>
        <v>0.23504325387452757</v>
      </c>
      <c r="AC13" s="18"/>
      <c r="AD13" s="18"/>
      <c r="AE13" s="24"/>
      <c r="AF13" s="25"/>
      <c r="AG13" s="19">
        <v>4</v>
      </c>
      <c r="AH13" s="19">
        <f t="shared" si="8"/>
        <v>0</v>
      </c>
      <c r="AI13" s="19">
        <f t="shared" si="0"/>
        <v>76</v>
      </c>
      <c r="AJ13" s="21">
        <v>0.28699999999999998</v>
      </c>
      <c r="AK13" s="19">
        <f t="shared" si="9"/>
        <v>4.9141345399999994E-2</v>
      </c>
      <c r="AL13" s="19">
        <f t="shared" si="10"/>
        <v>9.7265633802816893</v>
      </c>
      <c r="AM13" s="19">
        <f t="shared" si="11"/>
        <v>258.96726873090461</v>
      </c>
      <c r="AN13" s="19">
        <f t="shared" si="1"/>
        <v>197.93034360597076</v>
      </c>
      <c r="AO13" s="19">
        <f t="shared" si="12"/>
        <v>0.30726345648303421</v>
      </c>
      <c r="AP13" s="19">
        <f t="shared" si="2"/>
        <v>258.96726873090461</v>
      </c>
      <c r="AQ13" s="35"/>
      <c r="AS13" s="10"/>
      <c r="AT13" s="10"/>
      <c r="AU13" s="10"/>
      <c r="AV13" s="48"/>
      <c r="AW13" s="10"/>
    </row>
    <row r="14" spans="2:49" x14ac:dyDescent="0.25">
      <c r="B14" s="3" t="s">
        <v>280</v>
      </c>
      <c r="C14" s="5">
        <v>14.2</v>
      </c>
      <c r="D14" s="2">
        <v>10</v>
      </c>
      <c r="E14" s="2">
        <v>10</v>
      </c>
      <c r="F14" s="2">
        <v>10</v>
      </c>
      <c r="G14" s="2">
        <v>20</v>
      </c>
      <c r="H14" s="2">
        <v>5.4</v>
      </c>
      <c r="I14" s="2">
        <v>1</v>
      </c>
      <c r="J14" s="2">
        <v>0</v>
      </c>
      <c r="K14" s="2">
        <v>0.7</v>
      </c>
      <c r="L14" s="2">
        <v>0</v>
      </c>
      <c r="M14" s="2">
        <v>0</v>
      </c>
      <c r="N14" s="2">
        <v>37.4</v>
      </c>
      <c r="O14" s="2">
        <v>0.3</v>
      </c>
      <c r="P14" s="45">
        <v>0.32222222222222224</v>
      </c>
      <c r="Q14" s="10"/>
      <c r="R14" s="41"/>
      <c r="S14" s="30">
        <f t="shared" si="3"/>
        <v>12.425999999999998</v>
      </c>
      <c r="T14" s="30">
        <v>8</v>
      </c>
      <c r="U14" s="30">
        <f t="shared" si="4"/>
        <v>0.30000000000000426</v>
      </c>
      <c r="V14" s="30">
        <f t="shared" si="13"/>
        <v>0.26478873239436995</v>
      </c>
      <c r="W14" s="30">
        <f t="shared" si="5"/>
        <v>3.5211267605634311E-2</v>
      </c>
      <c r="X14" s="30">
        <f>V14+V13+V12+V11+V10+V9+V8+V7+V6</f>
        <v>5.8253521126760575</v>
      </c>
      <c r="Y14" s="30">
        <f t="shared" si="14"/>
        <v>2.734647887323943</v>
      </c>
      <c r="Z14" s="30">
        <f t="shared" si="6"/>
        <v>12.461211267605632</v>
      </c>
      <c r="AA14" s="31">
        <f t="shared" si="7"/>
        <v>0.21945281470614161</v>
      </c>
      <c r="AC14" s="18"/>
      <c r="AD14" s="18"/>
      <c r="AE14" s="24"/>
      <c r="AF14" s="25"/>
      <c r="AG14" s="19">
        <v>5</v>
      </c>
      <c r="AH14" s="19">
        <f t="shared" si="8"/>
        <v>1</v>
      </c>
      <c r="AI14" s="19">
        <f t="shared" si="0"/>
        <v>75</v>
      </c>
      <c r="AJ14" s="21">
        <v>0.28699999999999998</v>
      </c>
      <c r="AK14" s="19">
        <f t="shared" si="9"/>
        <v>4.8494748749999997E-2</v>
      </c>
      <c r="AL14" s="19">
        <f t="shared" si="10"/>
        <v>9.6913521126760553</v>
      </c>
      <c r="AM14" s="19">
        <f t="shared" si="11"/>
        <v>256.23392883337704</v>
      </c>
      <c r="AN14" s="19">
        <f t="shared" si="1"/>
        <v>199.84333072095885</v>
      </c>
      <c r="AO14" s="19">
        <f t="shared" si="12"/>
        <v>0.28115252843237476</v>
      </c>
      <c r="AP14" s="19">
        <f t="shared" si="2"/>
        <v>256.23392883337704</v>
      </c>
      <c r="AQ14" s="35"/>
      <c r="AS14" s="10"/>
      <c r="AT14" s="10"/>
      <c r="AU14" s="10"/>
      <c r="AV14" s="48"/>
      <c r="AW14" s="10"/>
    </row>
    <row r="15" spans="2:49" x14ac:dyDescent="0.25">
      <c r="B15" s="3" t="s">
        <v>281</v>
      </c>
      <c r="C15" s="5">
        <v>14</v>
      </c>
      <c r="D15" s="2">
        <v>11</v>
      </c>
      <c r="E15" s="2">
        <v>11</v>
      </c>
      <c r="F15" s="2">
        <v>11</v>
      </c>
      <c r="G15" s="2">
        <v>20</v>
      </c>
      <c r="H15" s="2">
        <v>4.3</v>
      </c>
      <c r="I15" s="2">
        <v>0</v>
      </c>
      <c r="J15" s="2">
        <v>0</v>
      </c>
      <c r="K15" s="2">
        <v>0.7</v>
      </c>
      <c r="L15" s="2">
        <v>0</v>
      </c>
      <c r="M15" s="2">
        <v>0</v>
      </c>
      <c r="N15" s="2">
        <v>37.200000000000003</v>
      </c>
      <c r="O15" s="2">
        <v>0.2</v>
      </c>
      <c r="P15" s="45">
        <v>0.31111111111111112</v>
      </c>
      <c r="Q15" s="10"/>
      <c r="R15" s="41"/>
      <c r="S15" s="30">
        <f t="shared" si="3"/>
        <v>12.226000000000003</v>
      </c>
      <c r="T15" s="30">
        <v>9</v>
      </c>
      <c r="U15" s="30">
        <f t="shared" si="4"/>
        <v>0.19999999999999574</v>
      </c>
      <c r="V15" s="30">
        <f t="shared" si="13"/>
        <v>0.17652582159624036</v>
      </c>
      <c r="W15" s="30">
        <f t="shared" si="5"/>
        <v>2.3474178403755375E-2</v>
      </c>
      <c r="X15" s="30">
        <f>V15+V14+V13+V12+V11+V10+V9+V8+V7+V6</f>
        <v>6.0018779342722972</v>
      </c>
      <c r="Y15" s="30">
        <f t="shared" si="14"/>
        <v>2.5581220657277033</v>
      </c>
      <c r="Z15" s="30">
        <f t="shared" si="6"/>
        <v>12.249474178403759</v>
      </c>
      <c r="AA15" s="31">
        <f t="shared" si="7"/>
        <v>0.20883525516856552</v>
      </c>
      <c r="AC15" s="18"/>
      <c r="AD15" s="18"/>
      <c r="AE15" s="24"/>
      <c r="AF15" s="25"/>
      <c r="AG15" s="19">
        <v>6</v>
      </c>
      <c r="AH15" s="19">
        <f t="shared" si="8"/>
        <v>1</v>
      </c>
      <c r="AI15" s="19">
        <f t="shared" si="0"/>
        <v>75</v>
      </c>
      <c r="AJ15" s="21">
        <v>0.28699999999999998</v>
      </c>
      <c r="AK15" s="19">
        <f t="shared" si="9"/>
        <v>4.8494748749999997E-2</v>
      </c>
      <c r="AL15" s="19">
        <f t="shared" si="10"/>
        <v>9.6678779342722994</v>
      </c>
      <c r="AM15" s="19">
        <f t="shared" si="11"/>
        <v>252.1097709574174</v>
      </c>
      <c r="AN15" s="19">
        <f t="shared" si="1"/>
        <v>199.35927463223118</v>
      </c>
      <c r="AO15" s="19">
        <f t="shared" si="12"/>
        <v>0.2639592531553715</v>
      </c>
      <c r="AP15" s="19">
        <f t="shared" si="2"/>
        <v>252.1097709574174</v>
      </c>
      <c r="AQ15" s="35"/>
      <c r="AS15" s="10"/>
      <c r="AT15" s="10"/>
      <c r="AU15" s="10"/>
      <c r="AV15" s="48"/>
      <c r="AW15" s="10"/>
    </row>
    <row r="16" spans="2:49" x14ac:dyDescent="0.25">
      <c r="B16" s="3" t="s">
        <v>282</v>
      </c>
      <c r="C16" s="5">
        <v>13.2</v>
      </c>
      <c r="D16" s="2">
        <v>11</v>
      </c>
      <c r="E16" s="2">
        <v>11</v>
      </c>
      <c r="F16" s="2">
        <v>11</v>
      </c>
      <c r="G16" s="2">
        <v>20</v>
      </c>
      <c r="H16" s="2">
        <v>3.3</v>
      </c>
      <c r="I16" s="2">
        <v>1</v>
      </c>
      <c r="J16" s="2">
        <v>0</v>
      </c>
      <c r="K16" s="2">
        <v>0.7</v>
      </c>
      <c r="L16" s="2">
        <v>0</v>
      </c>
      <c r="M16" s="2">
        <v>0</v>
      </c>
      <c r="N16" s="2">
        <v>37</v>
      </c>
      <c r="O16" s="2">
        <v>0.2</v>
      </c>
      <c r="P16" s="45">
        <v>0.29583333333333334</v>
      </c>
      <c r="Q16" s="10"/>
      <c r="R16" s="41"/>
      <c r="S16" s="30">
        <f t="shared" si="3"/>
        <v>12.026</v>
      </c>
      <c r="T16" s="30">
        <v>10</v>
      </c>
      <c r="U16" s="30">
        <f t="shared" si="4"/>
        <v>0.20000000000000284</v>
      </c>
      <c r="V16" s="30">
        <f t="shared" si="13"/>
        <v>0.17652582159624663</v>
      </c>
      <c r="W16" s="30">
        <f t="shared" si="5"/>
        <v>2.3474178403756207E-2</v>
      </c>
      <c r="X16" s="30">
        <f>V16+V15+V14+V13+V12+V11+V10+V9+V8+V7+V6</f>
        <v>6.1784037558685441</v>
      </c>
      <c r="Y16" s="30">
        <f t="shared" si="14"/>
        <v>2.3815962441314564</v>
      </c>
      <c r="Z16" s="30">
        <f t="shared" si="6"/>
        <v>12.049474178403756</v>
      </c>
      <c r="AA16" s="31">
        <f t="shared" si="7"/>
        <v>0.19765146668391437</v>
      </c>
      <c r="AC16" s="18"/>
      <c r="AD16" s="18"/>
      <c r="AE16" s="24"/>
      <c r="AF16" s="25"/>
      <c r="AG16" s="19">
        <v>6</v>
      </c>
      <c r="AH16" s="19">
        <f t="shared" si="8"/>
        <v>0</v>
      </c>
      <c r="AI16" s="19">
        <f t="shared" si="0"/>
        <v>76</v>
      </c>
      <c r="AJ16" s="21">
        <v>0.28699999999999998</v>
      </c>
      <c r="AK16" s="19">
        <f t="shared" si="9"/>
        <v>4.9141345399999994E-2</v>
      </c>
      <c r="AL16" s="19">
        <f t="shared" si="10"/>
        <v>9.6444037558685434</v>
      </c>
      <c r="AM16" s="19">
        <f t="shared" si="11"/>
        <v>244.72264448828057</v>
      </c>
      <c r="AN16" s="19">
        <f t="shared" si="1"/>
        <v>196.25843935214164</v>
      </c>
      <c r="AO16" s="19">
        <f t="shared" si="12"/>
        <v>0.24634115783452112</v>
      </c>
      <c r="AP16" s="19">
        <f t="shared" si="2"/>
        <v>244.72264448828057</v>
      </c>
      <c r="AQ16" s="35"/>
      <c r="AS16" s="10"/>
      <c r="AT16" s="10"/>
      <c r="AU16" s="10"/>
      <c r="AV16" s="48"/>
      <c r="AW16" s="10"/>
    </row>
    <row r="17" spans="2:49" x14ac:dyDescent="0.25">
      <c r="B17" s="6" t="s">
        <v>283</v>
      </c>
      <c r="C17" s="5">
        <v>12</v>
      </c>
      <c r="D17" s="2">
        <v>11</v>
      </c>
      <c r="E17" s="2">
        <v>11</v>
      </c>
      <c r="F17" s="2">
        <v>11</v>
      </c>
      <c r="G17" s="2">
        <v>20</v>
      </c>
      <c r="H17" s="2">
        <v>3.1</v>
      </c>
      <c r="I17" s="2">
        <v>0</v>
      </c>
      <c r="J17" s="2">
        <v>0</v>
      </c>
      <c r="K17" s="2">
        <v>0.7</v>
      </c>
      <c r="L17" s="2">
        <v>0</v>
      </c>
      <c r="M17" s="2">
        <v>0</v>
      </c>
      <c r="N17" s="2">
        <v>36.9</v>
      </c>
      <c r="O17" s="2">
        <v>0.1</v>
      </c>
      <c r="P17" s="45">
        <v>0.32013888888888886</v>
      </c>
      <c r="Q17" s="10"/>
      <c r="R17" s="41"/>
      <c r="S17" s="30">
        <f t="shared" si="3"/>
        <v>11.925999999999998</v>
      </c>
      <c r="T17" s="30">
        <v>11</v>
      </c>
      <c r="U17" s="30">
        <f t="shared" si="4"/>
        <v>0.10000000000000142</v>
      </c>
      <c r="V17" s="30">
        <f t="shared" si="13"/>
        <v>8.8262910798123317E-2</v>
      </c>
      <c r="W17" s="30">
        <f t="shared" si="5"/>
        <v>1.1737089201878104E-2</v>
      </c>
      <c r="X17" s="30">
        <f>V17+V16+V15+V14+V13+V12+V11+V10+V9+V8+V7+V6</f>
        <v>6.2666666666666675</v>
      </c>
      <c r="Y17" s="30">
        <f t="shared" si="14"/>
        <v>2.293333333333333</v>
      </c>
      <c r="Z17" s="30">
        <f t="shared" si="6"/>
        <v>11.937737089201876</v>
      </c>
      <c r="AA17" s="31">
        <f t="shared" si="7"/>
        <v>0.19210787741403165</v>
      </c>
      <c r="AC17" s="18"/>
      <c r="AD17" s="18"/>
      <c r="AE17" s="24"/>
      <c r="AF17" s="25"/>
      <c r="AG17" s="19">
        <v>6</v>
      </c>
      <c r="AH17" s="19">
        <f t="shared" si="8"/>
        <v>0</v>
      </c>
      <c r="AI17" s="19">
        <f t="shared" si="0"/>
        <v>76</v>
      </c>
      <c r="AJ17" s="21">
        <v>0.28699999999999998</v>
      </c>
      <c r="AK17" s="19">
        <f t="shared" si="9"/>
        <v>4.9141345399999994E-2</v>
      </c>
      <c r="AL17" s="19">
        <f t="shared" si="10"/>
        <v>9.6326666666666654</v>
      </c>
      <c r="AM17" s="19">
        <f t="shared" si="11"/>
        <v>242.68769816790567</v>
      </c>
      <c r="AN17" s="19">
        <f t="shared" si="1"/>
        <v>196.0195958873089</v>
      </c>
      <c r="AO17" s="19">
        <f t="shared" si="12"/>
        <v>0.23778902163214163</v>
      </c>
      <c r="AP17" s="19">
        <f t="shared" si="2"/>
        <v>242.68769816790567</v>
      </c>
      <c r="AQ17" s="35"/>
      <c r="AS17" s="10"/>
      <c r="AT17" s="10"/>
      <c r="AU17" s="10"/>
      <c r="AV17" s="48"/>
      <c r="AW17" s="10"/>
    </row>
    <row r="18" spans="2:49" x14ac:dyDescent="0.25">
      <c r="B18" s="3" t="s">
        <v>284</v>
      </c>
      <c r="C18" s="5">
        <v>12.7</v>
      </c>
      <c r="D18" s="2">
        <v>12</v>
      </c>
      <c r="E18" s="2">
        <v>12</v>
      </c>
      <c r="F18" s="2">
        <v>12</v>
      </c>
      <c r="G18" s="2">
        <v>20</v>
      </c>
      <c r="H18" s="2">
        <v>2.9</v>
      </c>
      <c r="I18" s="2">
        <v>0</v>
      </c>
      <c r="J18" s="2">
        <v>0</v>
      </c>
      <c r="K18" s="2">
        <v>0.7</v>
      </c>
      <c r="L18" s="2">
        <v>0</v>
      </c>
      <c r="M18" s="2">
        <v>0</v>
      </c>
      <c r="N18" s="2">
        <v>36.700000000000003</v>
      </c>
      <c r="O18" s="2">
        <v>0.2</v>
      </c>
      <c r="P18" s="45">
        <v>0.33055555555555555</v>
      </c>
      <c r="Q18" s="10"/>
      <c r="R18" s="41"/>
      <c r="S18" s="30">
        <f t="shared" si="3"/>
        <v>11.726000000000003</v>
      </c>
      <c r="T18" s="30">
        <v>12</v>
      </c>
      <c r="U18" s="30">
        <f t="shared" si="4"/>
        <v>0.19999999999999574</v>
      </c>
      <c r="V18" s="30">
        <f t="shared" si="13"/>
        <v>0.17652582159624036</v>
      </c>
      <c r="W18" s="30">
        <f t="shared" si="5"/>
        <v>2.3474178403755375E-2</v>
      </c>
      <c r="X18" s="30">
        <f>V18+V17+V16+V15+V14+V13+V12+V11+V10+V9+V8+V7+V6</f>
        <v>6.443192488262909</v>
      </c>
      <c r="Y18" s="30">
        <f t="shared" si="14"/>
        <v>2.1168075117370915</v>
      </c>
      <c r="Z18" s="30">
        <f t="shared" si="6"/>
        <v>11.749474178403759</v>
      </c>
      <c r="AA18" s="31">
        <f t="shared" si="7"/>
        <v>0.18016189317032683</v>
      </c>
      <c r="AC18" s="18"/>
      <c r="AD18" s="18"/>
      <c r="AE18" s="26" t="s">
        <v>310</v>
      </c>
      <c r="AF18" s="27">
        <v>1820</v>
      </c>
      <c r="AG18" s="19">
        <v>7</v>
      </c>
      <c r="AH18" s="19">
        <f t="shared" si="8"/>
        <v>1</v>
      </c>
      <c r="AI18" s="19">
        <f t="shared" si="0"/>
        <v>75</v>
      </c>
      <c r="AJ18" s="21">
        <v>0.28699999999999998</v>
      </c>
      <c r="AK18" s="19">
        <f t="shared" si="9"/>
        <v>4.8494748749999997E-2</v>
      </c>
      <c r="AL18" s="19">
        <f t="shared" si="10"/>
        <v>9.6091924882629094</v>
      </c>
      <c r="AM18" s="19">
        <f t="shared" si="11"/>
        <v>241.79937626751811</v>
      </c>
      <c r="AN18" s="19">
        <f t="shared" si="1"/>
        <v>198.14913441041202</v>
      </c>
      <c r="AO18" s="19">
        <f t="shared" si="12"/>
        <v>0.21975301180743562</v>
      </c>
      <c r="AP18" s="19">
        <f t="shared" si="2"/>
        <v>241.79937626751811</v>
      </c>
      <c r="AQ18" s="35"/>
      <c r="AS18" s="10"/>
      <c r="AT18" s="10"/>
      <c r="AU18" s="10"/>
      <c r="AV18" s="48"/>
      <c r="AW18" s="10"/>
    </row>
    <row r="19" spans="2:49" x14ac:dyDescent="0.25">
      <c r="B19" s="47"/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54"/>
      <c r="Q19" s="10"/>
      <c r="R19" s="41"/>
      <c r="S19" s="30"/>
      <c r="T19" s="30"/>
      <c r="U19" s="30"/>
      <c r="V19" s="30"/>
      <c r="W19" s="30"/>
      <c r="X19" s="30"/>
      <c r="Y19" s="30"/>
      <c r="Z19" s="30"/>
      <c r="AA19" s="31"/>
      <c r="AC19" s="18"/>
      <c r="AD19" s="18"/>
      <c r="AG19" s="19"/>
      <c r="AH19" s="19"/>
      <c r="AI19" s="19"/>
      <c r="AJ19" s="21"/>
      <c r="AK19" s="19"/>
      <c r="AL19" s="19"/>
      <c r="AM19" s="19"/>
      <c r="AN19" s="19"/>
      <c r="AO19" s="19"/>
      <c r="AP19" s="19"/>
      <c r="AQ19" s="35"/>
      <c r="AS19" s="48"/>
      <c r="AT19" s="48"/>
      <c r="AU19" s="48"/>
      <c r="AV19" s="48"/>
      <c r="AW19" s="10"/>
    </row>
    <row r="20" spans="2:49" x14ac:dyDescent="0.25">
      <c r="B20" s="47"/>
      <c r="C20" s="47"/>
      <c r="D20" s="53"/>
      <c r="E20" s="53"/>
      <c r="F20" s="53"/>
      <c r="G20" s="48"/>
      <c r="H20" s="48"/>
      <c r="I20" s="48"/>
      <c r="J20" s="48"/>
      <c r="K20" s="48"/>
      <c r="L20" s="48"/>
      <c r="M20" s="48"/>
      <c r="N20" s="53"/>
      <c r="O20" s="48"/>
      <c r="P20" s="54"/>
      <c r="Q20" s="39"/>
      <c r="R20" s="41"/>
      <c r="S20" s="30"/>
      <c r="T20" s="30"/>
      <c r="U20" s="30"/>
      <c r="V20" s="30"/>
      <c r="W20" s="30"/>
      <c r="X20" s="30"/>
      <c r="Y20" s="30"/>
      <c r="Z20" s="30"/>
      <c r="AA20" s="31"/>
      <c r="AG20" s="19"/>
      <c r="AH20" s="19"/>
      <c r="AI20" s="19"/>
      <c r="AJ20" s="21"/>
      <c r="AK20" s="19"/>
      <c r="AL20" s="19"/>
      <c r="AM20" s="19"/>
      <c r="AN20" s="19"/>
      <c r="AO20" s="19"/>
      <c r="AP20" s="19"/>
      <c r="AQ20" s="35"/>
      <c r="AS20" s="53"/>
      <c r="AT20" s="53"/>
      <c r="AU20" s="53"/>
      <c r="AV20" s="10"/>
      <c r="AW20" s="10"/>
    </row>
    <row r="21" spans="2:49" x14ac:dyDescent="0.25">
      <c r="B21" s="47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50"/>
      <c r="Q21" s="10"/>
      <c r="R21" s="42"/>
      <c r="S21" s="30"/>
      <c r="T21" s="30"/>
      <c r="U21" s="30"/>
      <c r="V21" s="30"/>
      <c r="W21" s="30"/>
      <c r="X21" s="30"/>
      <c r="Y21" s="30"/>
      <c r="Z21" s="30"/>
      <c r="AA21" s="31"/>
      <c r="AG21" s="19"/>
      <c r="AH21" s="19"/>
      <c r="AI21" s="19"/>
      <c r="AJ21" s="21"/>
      <c r="AK21" s="19"/>
      <c r="AL21" s="19"/>
      <c r="AM21" s="19"/>
      <c r="AN21" s="19"/>
      <c r="AO21" s="19"/>
      <c r="AP21" s="19"/>
      <c r="AQ21" s="35"/>
      <c r="AS21" s="48"/>
      <c r="AT21" s="48"/>
      <c r="AU21" s="48"/>
      <c r="AV21" s="10"/>
    </row>
    <row r="22" spans="2:49" x14ac:dyDescent="0.25">
      <c r="B22" s="63" t="s">
        <v>303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10"/>
      <c r="R22" s="42"/>
      <c r="S22" s="11" t="s">
        <v>305</v>
      </c>
      <c r="T22" s="11"/>
      <c r="U22" s="11"/>
      <c r="V22" s="11"/>
      <c r="W22" s="11"/>
      <c r="X22" s="11"/>
      <c r="Y22" s="11"/>
      <c r="Z22" s="11"/>
      <c r="AA22" s="11"/>
      <c r="AG22" s="63" t="s">
        <v>305</v>
      </c>
      <c r="AH22" s="63"/>
      <c r="AI22" s="63"/>
      <c r="AJ22" s="63"/>
      <c r="AK22" s="63"/>
      <c r="AL22" s="63"/>
      <c r="AM22" s="63"/>
      <c r="AN22" s="63"/>
      <c r="AO22" s="63"/>
      <c r="AP22" s="63"/>
      <c r="AQ22" s="35"/>
      <c r="AT22" s="10"/>
      <c r="AU22" s="10"/>
      <c r="AV22" s="10"/>
    </row>
    <row r="23" spans="2:49" x14ac:dyDescent="0.25">
      <c r="Q23" s="10"/>
      <c r="R23" s="42"/>
      <c r="AQ23" s="35"/>
      <c r="AT23" s="10"/>
      <c r="AU23" s="10"/>
      <c r="AV23" s="10"/>
    </row>
    <row r="24" spans="2:49" x14ac:dyDescent="0.25">
      <c r="B24" s="39"/>
      <c r="C24" s="3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42"/>
      <c r="Q24" s="10"/>
      <c r="R24" s="42"/>
      <c r="S24" t="s">
        <v>313</v>
      </c>
      <c r="X24" s="8">
        <v>8.56</v>
      </c>
      <c r="Y24" s="30"/>
      <c r="Z24" s="30"/>
      <c r="AA24" s="31"/>
      <c r="AG24" s="19"/>
      <c r="AH24" s="19"/>
      <c r="AI24" s="19"/>
      <c r="AJ24" s="21"/>
      <c r="AK24" s="19"/>
      <c r="AL24" s="19"/>
      <c r="AM24" s="19"/>
      <c r="AN24" s="19"/>
      <c r="AO24" s="19"/>
      <c r="AP24" s="19"/>
      <c r="AQ24" s="35"/>
      <c r="AT24" s="10"/>
      <c r="AU24" s="10"/>
      <c r="AV24" s="10"/>
    </row>
    <row r="25" spans="2:49" x14ac:dyDescent="0.25">
      <c r="B25" s="39"/>
      <c r="C25" s="3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42"/>
      <c r="Q25" s="10"/>
      <c r="R25" s="42"/>
      <c r="S25" t="s">
        <v>312</v>
      </c>
      <c r="X25" s="8">
        <v>2.0270000000000001</v>
      </c>
      <c r="Y25" s="30"/>
      <c r="Z25" s="30"/>
      <c r="AA25" s="31"/>
      <c r="AG25" s="19"/>
      <c r="AH25" s="19"/>
      <c r="AI25" s="19"/>
      <c r="AJ25" s="21"/>
      <c r="AK25" s="19"/>
      <c r="AL25" s="19"/>
      <c r="AM25" s="19"/>
      <c r="AN25" s="19"/>
      <c r="AO25" s="19"/>
      <c r="AP25" s="19"/>
      <c r="AQ25" s="35"/>
      <c r="AT25" s="10"/>
      <c r="AU25" s="10"/>
      <c r="AV25" s="10"/>
    </row>
    <row r="26" spans="2:49" x14ac:dyDescent="0.25">
      <c r="B26" s="39"/>
      <c r="C26" s="3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2"/>
      <c r="Q26" s="10"/>
      <c r="R26" s="42"/>
      <c r="S26" t="s">
        <v>311</v>
      </c>
      <c r="X26" s="8">
        <f>S6-S18</f>
        <v>7.2999999999999972</v>
      </c>
      <c r="Y26" s="30"/>
      <c r="Z26" s="30"/>
      <c r="AA26" s="31"/>
      <c r="AG26" s="19"/>
      <c r="AH26" s="19"/>
      <c r="AI26" s="19"/>
      <c r="AJ26" s="21"/>
      <c r="AK26" s="19"/>
      <c r="AL26" s="19"/>
      <c r="AM26" s="19"/>
      <c r="AN26" s="19"/>
      <c r="AO26" s="19"/>
      <c r="AP26" s="19"/>
      <c r="AQ26" s="35"/>
      <c r="AT26" s="10"/>
      <c r="AU26" s="10"/>
      <c r="AV26" s="10"/>
    </row>
    <row r="27" spans="2:49" x14ac:dyDescent="0.25">
      <c r="B27" s="39"/>
      <c r="C27" s="3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42"/>
      <c r="S27" t="s">
        <v>314</v>
      </c>
      <c r="X27" s="8">
        <f>X24-X25</f>
        <v>6.5330000000000004</v>
      </c>
      <c r="Y27" s="30"/>
      <c r="Z27" s="30"/>
      <c r="AA27" s="31"/>
      <c r="AG27" s="19"/>
      <c r="AH27" s="19"/>
      <c r="AI27" s="19"/>
      <c r="AJ27" s="21"/>
      <c r="AK27" s="19"/>
      <c r="AL27" s="19"/>
      <c r="AM27" s="19"/>
      <c r="AN27" s="19"/>
      <c r="AO27" s="19"/>
      <c r="AP27" s="19"/>
      <c r="AQ27" s="35"/>
      <c r="AT27" s="10"/>
      <c r="AU27" s="10"/>
      <c r="AV27" s="10"/>
    </row>
    <row r="28" spans="2:49" x14ac:dyDescent="0.25">
      <c r="S28" t="s">
        <v>315</v>
      </c>
      <c r="X28" s="8">
        <f>X26-X27</f>
        <v>0.7669999999999968</v>
      </c>
      <c r="AQ28" s="35"/>
    </row>
    <row r="29" spans="2:49" x14ac:dyDescent="0.25">
      <c r="AQ29" s="35"/>
    </row>
    <row r="30" spans="2:49" x14ac:dyDescent="0.25">
      <c r="S30" t="s">
        <v>316</v>
      </c>
      <c r="X30" s="29">
        <f>X27/X28</f>
        <v>8.5176010430248077</v>
      </c>
      <c r="AQ30" s="35"/>
    </row>
    <row r="31" spans="2:49" x14ac:dyDescent="0.25">
      <c r="AQ31" s="35"/>
    </row>
    <row r="32" spans="2:49" x14ac:dyDescent="0.25">
      <c r="AQ32" s="35"/>
    </row>
    <row r="33" spans="1:43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4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8"/>
    </row>
    <row r="35" spans="1:43" x14ac:dyDescent="0.25">
      <c r="Y35" s="18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410" spans="46:46" x14ac:dyDescent="0.25">
      <c r="AT410" s="7"/>
    </row>
    <row r="554" spans="46:46" x14ac:dyDescent="0.25">
      <c r="AT554" s="7"/>
    </row>
    <row r="684" spans="46:46" x14ac:dyDescent="0.25">
      <c r="AT684" s="7"/>
    </row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</sheetData>
  <mergeCells count="2">
    <mergeCell ref="B22:P22"/>
    <mergeCell ref="AG22:AP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B3078-18AF-4BD9-809E-B98756173689}">
  <dimension ref="A1:AV16191"/>
  <sheetViews>
    <sheetView topLeftCell="A3" zoomScaleNormal="100" workbookViewId="0">
      <selection activeCell="L3" sqref="L3:M3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2.2851562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  <col min="70" max="70" width="8.85546875" customWidth="1"/>
  </cols>
  <sheetData>
    <row r="1" spans="2:48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8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8" x14ac:dyDescent="0.25">
      <c r="L3" s="9"/>
      <c r="M3" s="10"/>
      <c r="AQ3" s="35"/>
    </row>
    <row r="4" spans="2:48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338</v>
      </c>
      <c r="W4" s="17" t="s">
        <v>339</v>
      </c>
      <c r="X4" s="17" t="s">
        <v>340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8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8" x14ac:dyDescent="0.25">
      <c r="B6" s="3" t="s">
        <v>22</v>
      </c>
      <c r="C6" s="5">
        <v>23.4</v>
      </c>
      <c r="D6" s="2">
        <v>5</v>
      </c>
      <c r="E6" s="2">
        <v>5</v>
      </c>
      <c r="F6" s="2">
        <v>5</v>
      </c>
      <c r="G6" s="2">
        <v>20</v>
      </c>
      <c r="H6" s="2">
        <v>0</v>
      </c>
      <c r="I6" s="2">
        <v>0</v>
      </c>
      <c r="J6" s="2">
        <v>0</v>
      </c>
      <c r="K6" s="2">
        <v>21</v>
      </c>
      <c r="L6" s="2">
        <v>0</v>
      </c>
      <c r="M6" s="2">
        <v>0</v>
      </c>
      <c r="N6" s="2">
        <v>46.9</v>
      </c>
      <c r="O6" s="2">
        <v>0</v>
      </c>
      <c r="P6" s="4">
        <v>0.52708333333333335</v>
      </c>
      <c r="Q6" s="10"/>
      <c r="R6" s="41"/>
      <c r="S6" s="30">
        <f>N6-31.479</f>
        <v>15.420999999999999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6.94</v>
      </c>
      <c r="Z6" s="30">
        <f>S6-V6</f>
        <v>15.420999999999999</v>
      </c>
      <c r="AA6" s="31">
        <f>Y6/Z6</f>
        <v>0.45003566565073605</v>
      </c>
      <c r="AC6" s="18"/>
      <c r="AD6" s="18">
        <v>1000</v>
      </c>
      <c r="AE6" s="22" t="s">
        <v>309</v>
      </c>
      <c r="AF6" s="23">
        <v>1600</v>
      </c>
      <c r="AG6" s="19">
        <v>0</v>
      </c>
      <c r="AH6" s="19">
        <v>0</v>
      </c>
      <c r="AI6" s="19">
        <f t="shared" ref="AI6:AI20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8.4809999999999999</v>
      </c>
      <c r="AM6" s="19">
        <f>S6/AK6</f>
        <v>313.809072065007</v>
      </c>
      <c r="AN6" s="19">
        <f t="shared" ref="AN6:AN19" si="1">AL6/AK6</f>
        <v>172.58379743099181</v>
      </c>
      <c r="AO6" s="19">
        <f>(AA6/(1-AA6))</f>
        <v>0.81829972880556556</v>
      </c>
      <c r="AP6" s="19">
        <f t="shared" ref="AP6:AP19" si="2">AM6/(1+AQ6)</f>
        <v>313.809072065007</v>
      </c>
      <c r="AQ6" s="35"/>
      <c r="AT6" s="10"/>
      <c r="AU6" s="10"/>
      <c r="AV6" s="10"/>
    </row>
    <row r="7" spans="2:48" x14ac:dyDescent="0.25">
      <c r="B7" s="3" t="s">
        <v>23</v>
      </c>
      <c r="C7" s="5">
        <v>51.7</v>
      </c>
      <c r="D7" s="2">
        <v>6</v>
      </c>
      <c r="E7" s="2">
        <v>6</v>
      </c>
      <c r="F7" s="2">
        <v>6</v>
      </c>
      <c r="G7" s="2">
        <v>20</v>
      </c>
      <c r="H7" s="2">
        <v>9.6</v>
      </c>
      <c r="I7" s="2">
        <v>0</v>
      </c>
      <c r="J7" s="2">
        <v>1</v>
      </c>
      <c r="K7" s="2">
        <v>5.0999999999999996</v>
      </c>
      <c r="L7" s="2">
        <v>0</v>
      </c>
      <c r="M7" s="2">
        <v>0</v>
      </c>
      <c r="N7" s="2">
        <v>45.8</v>
      </c>
      <c r="O7" s="2">
        <v>1100</v>
      </c>
      <c r="P7" s="4">
        <v>0.31944444444444448</v>
      </c>
      <c r="Q7" s="10"/>
      <c r="R7" s="41"/>
      <c r="S7" s="30">
        <f t="shared" ref="S7:S19" si="3">N7-31.479</f>
        <v>14.320999999999998</v>
      </c>
      <c r="T7" s="30">
        <v>1</v>
      </c>
      <c r="U7" s="30">
        <f t="shared" ref="U7:U20" si="4">S6-S7</f>
        <v>1.1000000000000014</v>
      </c>
      <c r="V7" s="30">
        <f>U7-(U7/5.07)</f>
        <v>0.88303747534516885</v>
      </c>
      <c r="W7" s="30">
        <f t="shared" ref="W7:W20" si="5">U7-V7</f>
        <v>0.21696252465483257</v>
      </c>
      <c r="X7" s="30">
        <f>V7+V6</f>
        <v>0.88303747534516885</v>
      </c>
      <c r="Y7" s="30">
        <f t="shared" ref="Y7:Y20" si="6">6.94-X7</f>
        <v>6.056962524654832</v>
      </c>
      <c r="Z7" s="30">
        <f t="shared" ref="Z7:Z20" si="7">S6-V7</f>
        <v>14.53796252465483</v>
      </c>
      <c r="AA7" s="31">
        <f t="shared" ref="AA7:AA20" si="8">Y7/Z7</f>
        <v>0.41663077025978512</v>
      </c>
      <c r="AC7" s="18"/>
      <c r="AD7" s="18"/>
      <c r="AE7" s="24"/>
      <c r="AF7" s="25"/>
      <c r="AG7" s="19">
        <v>1</v>
      </c>
      <c r="AH7" s="19">
        <f t="shared" ref="AH7:AH19" si="9">AG7-AG6</f>
        <v>1</v>
      </c>
      <c r="AI7" s="19">
        <f t="shared" si="0"/>
        <v>75</v>
      </c>
      <c r="AJ7" s="21">
        <v>0.28699999999999998</v>
      </c>
      <c r="AK7" s="19">
        <f t="shared" ref="AK7:AK20" si="10">((($AJ$6*$AJ$6)*3.14)/4)*(AI7/100)</f>
        <v>4.8494748749999997E-2</v>
      </c>
      <c r="AL7" s="19">
        <f t="shared" ref="AL7:AL20" si="11">AL6-W7</f>
        <v>8.2640374753451677</v>
      </c>
      <c r="AM7" s="19">
        <f t="shared" ref="AM7:AM20" si="12">S7/AK7</f>
        <v>295.31032470809532</v>
      </c>
      <c r="AN7" s="19">
        <f t="shared" si="1"/>
        <v>170.41097620585504</v>
      </c>
      <c r="AO7" s="19">
        <f t="shared" ref="AO7:AO20" si="13">(AA7/(1-AA7))</f>
        <v>0.71418022929546443</v>
      </c>
      <c r="AP7" s="19">
        <f t="shared" si="2"/>
        <v>295.31032470809532</v>
      </c>
      <c r="AQ7" s="35"/>
      <c r="AT7" s="10"/>
      <c r="AU7" s="10"/>
      <c r="AV7" s="10"/>
    </row>
    <row r="8" spans="2:48" x14ac:dyDescent="0.25">
      <c r="B8" s="3" t="s">
        <v>24</v>
      </c>
      <c r="C8" s="5">
        <v>36</v>
      </c>
      <c r="D8" s="2">
        <v>11</v>
      </c>
      <c r="E8" s="2">
        <v>11</v>
      </c>
      <c r="F8" s="2">
        <v>11</v>
      </c>
      <c r="G8" s="2">
        <v>20</v>
      </c>
      <c r="H8" s="2">
        <v>16.3</v>
      </c>
      <c r="I8" s="2">
        <v>0</v>
      </c>
      <c r="J8" s="2">
        <v>0</v>
      </c>
      <c r="K8" s="2">
        <v>5.0999999999999996</v>
      </c>
      <c r="L8" s="2">
        <v>0</v>
      </c>
      <c r="M8" s="2">
        <v>0</v>
      </c>
      <c r="N8" s="2">
        <v>43.6</v>
      </c>
      <c r="O8" s="2">
        <v>2200</v>
      </c>
      <c r="P8" s="4">
        <v>0.31597222222222221</v>
      </c>
      <c r="Q8" s="10"/>
      <c r="R8" s="41"/>
      <c r="S8" s="30">
        <f t="shared" si="3"/>
        <v>12.121000000000002</v>
      </c>
      <c r="T8" s="30">
        <v>2</v>
      </c>
      <c r="U8" s="30">
        <f t="shared" si="4"/>
        <v>2.1999999999999957</v>
      </c>
      <c r="V8" s="30">
        <f t="shared" ref="V8:V20" si="14">U8-(U8/5.07)</f>
        <v>1.7660749506903319</v>
      </c>
      <c r="W8" s="30">
        <f t="shared" si="5"/>
        <v>0.4339250493096638</v>
      </c>
      <c r="X8" s="30">
        <f>V7+V8+V6</f>
        <v>2.6491124260355008</v>
      </c>
      <c r="Y8" s="30">
        <f t="shared" si="6"/>
        <v>4.2908875739644996</v>
      </c>
      <c r="Z8" s="30">
        <f t="shared" si="7"/>
        <v>12.554925049309666</v>
      </c>
      <c r="AA8" s="31">
        <f t="shared" si="8"/>
        <v>0.34176927039484273</v>
      </c>
      <c r="AC8" s="18"/>
      <c r="AD8" s="18"/>
      <c r="AE8" s="24"/>
      <c r="AF8" s="25"/>
      <c r="AG8" s="19">
        <v>6</v>
      </c>
      <c r="AH8" s="19">
        <f t="shared" si="9"/>
        <v>5</v>
      </c>
      <c r="AI8" s="19">
        <f t="shared" si="0"/>
        <v>71</v>
      </c>
      <c r="AJ8" s="21">
        <v>0.28699999999999998</v>
      </c>
      <c r="AK8" s="19">
        <f t="shared" si="10"/>
        <v>4.5908362149999993E-2</v>
      </c>
      <c r="AL8" s="19">
        <f t="shared" si="11"/>
        <v>7.8301124260355035</v>
      </c>
      <c r="AM8" s="19">
        <f t="shared" si="12"/>
        <v>264.02597331606188</v>
      </c>
      <c r="AN8" s="19">
        <f t="shared" si="1"/>
        <v>170.5596117860089</v>
      </c>
      <c r="AO8" s="19">
        <f t="shared" si="13"/>
        <v>0.51922411856987383</v>
      </c>
      <c r="AP8" s="19">
        <f t="shared" si="2"/>
        <v>264.02597331606188</v>
      </c>
      <c r="AQ8" s="35"/>
      <c r="AT8" s="10"/>
      <c r="AU8" s="10"/>
      <c r="AV8" s="10"/>
    </row>
    <row r="9" spans="2:48" x14ac:dyDescent="0.25">
      <c r="B9" s="3" t="s">
        <v>25</v>
      </c>
      <c r="C9" s="5">
        <v>29.9</v>
      </c>
      <c r="D9" s="2">
        <v>12</v>
      </c>
      <c r="E9" s="2">
        <v>12</v>
      </c>
      <c r="F9" s="2">
        <v>12</v>
      </c>
      <c r="G9" s="2">
        <v>20</v>
      </c>
      <c r="H9" s="2">
        <v>16.7</v>
      </c>
      <c r="I9" s="2">
        <v>0</v>
      </c>
      <c r="J9" s="2">
        <v>0</v>
      </c>
      <c r="K9" s="2">
        <v>5.0999999999999996</v>
      </c>
      <c r="L9" s="2">
        <v>0</v>
      </c>
      <c r="M9" s="2">
        <v>0</v>
      </c>
      <c r="N9" s="2">
        <v>42.8</v>
      </c>
      <c r="O9" s="2">
        <v>800</v>
      </c>
      <c r="P9" s="4">
        <v>0.31944444444444448</v>
      </c>
      <c r="Q9" s="10"/>
      <c r="R9" s="41"/>
      <c r="S9" s="30">
        <f t="shared" si="3"/>
        <v>11.320999999999998</v>
      </c>
      <c r="T9" s="30">
        <v>3</v>
      </c>
      <c r="U9" s="30">
        <f t="shared" si="4"/>
        <v>0.80000000000000426</v>
      </c>
      <c r="V9" s="30">
        <f t="shared" si="14"/>
        <v>0.6422090729783072</v>
      </c>
      <c r="W9" s="30">
        <f t="shared" si="5"/>
        <v>0.15779092702169706</v>
      </c>
      <c r="X9" s="30">
        <f>V9+V8+V7+V6</f>
        <v>3.291321499013808</v>
      </c>
      <c r="Y9" s="30">
        <f t="shared" si="6"/>
        <v>3.6486785009861924</v>
      </c>
      <c r="Z9" s="30">
        <f t="shared" si="7"/>
        <v>11.478790927021695</v>
      </c>
      <c r="AA9" s="31">
        <f t="shared" si="8"/>
        <v>0.31786261498996432</v>
      </c>
      <c r="AC9" s="18"/>
      <c r="AD9" s="18"/>
      <c r="AE9" s="24"/>
      <c r="AF9" s="25"/>
      <c r="AG9" s="19">
        <v>6</v>
      </c>
      <c r="AH9" s="19">
        <f t="shared" si="9"/>
        <v>0</v>
      </c>
      <c r="AI9" s="19">
        <f t="shared" si="0"/>
        <v>76</v>
      </c>
      <c r="AJ9" s="21">
        <v>0.28699999999999998</v>
      </c>
      <c r="AK9" s="19">
        <f t="shared" si="10"/>
        <v>4.9141345399999994E-2</v>
      </c>
      <c r="AL9" s="19">
        <f t="shared" si="11"/>
        <v>7.6723214990138064</v>
      </c>
      <c r="AM9" s="19">
        <f t="shared" si="12"/>
        <v>230.37627292963776</v>
      </c>
      <c r="AN9" s="19">
        <f t="shared" si="1"/>
        <v>156.12762403151069</v>
      </c>
      <c r="AO9" s="19">
        <f t="shared" si="13"/>
        <v>0.4659803464448557</v>
      </c>
      <c r="AP9" s="19">
        <f t="shared" si="2"/>
        <v>230.37627292963776</v>
      </c>
      <c r="AQ9" s="35"/>
      <c r="AT9" s="10"/>
      <c r="AU9" s="10"/>
      <c r="AV9" s="10"/>
    </row>
    <row r="10" spans="2:48" x14ac:dyDescent="0.25">
      <c r="B10" s="3" t="s">
        <v>26</v>
      </c>
      <c r="C10" s="5">
        <v>30</v>
      </c>
      <c r="D10" s="2">
        <v>12</v>
      </c>
      <c r="E10" s="2">
        <v>12</v>
      </c>
      <c r="F10" s="2">
        <v>12</v>
      </c>
      <c r="G10" s="2">
        <v>20</v>
      </c>
      <c r="H10" s="2">
        <v>8.6999999999999993</v>
      </c>
      <c r="I10" s="2">
        <v>1</v>
      </c>
      <c r="J10" s="2">
        <v>0</v>
      </c>
      <c r="K10" s="2">
        <v>5.0999999999999996</v>
      </c>
      <c r="L10" s="2">
        <v>0</v>
      </c>
      <c r="M10" s="2">
        <v>0</v>
      </c>
      <c r="N10" s="2">
        <v>42.2</v>
      </c>
      <c r="O10" s="2">
        <v>600</v>
      </c>
      <c r="P10" s="4">
        <v>0.31597222222222221</v>
      </c>
      <c r="Q10" s="10"/>
      <c r="R10" s="41"/>
      <c r="S10" s="30">
        <f t="shared" si="3"/>
        <v>10.721000000000004</v>
      </c>
      <c r="T10" s="30">
        <v>4</v>
      </c>
      <c r="U10" s="30">
        <f t="shared" si="4"/>
        <v>0.59999999999999432</v>
      </c>
      <c r="V10" s="30">
        <f t="shared" si="14"/>
        <v>0.48165680473372324</v>
      </c>
      <c r="W10" s="30">
        <f t="shared" si="5"/>
        <v>0.11834319526627107</v>
      </c>
      <c r="X10" s="30">
        <f>V10+V9+V8+V7+V6</f>
        <v>3.7729783037475313</v>
      </c>
      <c r="Y10" s="30">
        <f t="shared" si="6"/>
        <v>3.1670216962524691</v>
      </c>
      <c r="Z10" s="30">
        <f t="shared" si="7"/>
        <v>10.839343195266276</v>
      </c>
      <c r="AA10" s="31">
        <f t="shared" si="8"/>
        <v>0.2921783764200363</v>
      </c>
      <c r="AC10" s="18"/>
      <c r="AD10" s="18"/>
      <c r="AE10" s="24"/>
      <c r="AF10" s="25"/>
      <c r="AG10" s="19">
        <v>7</v>
      </c>
      <c r="AH10" s="19">
        <f t="shared" si="9"/>
        <v>1</v>
      </c>
      <c r="AI10" s="19">
        <f t="shared" si="0"/>
        <v>75</v>
      </c>
      <c r="AJ10" s="21">
        <v>0.28699999999999998</v>
      </c>
      <c r="AK10" s="19">
        <f t="shared" si="10"/>
        <v>4.8494748749999997E-2</v>
      </c>
      <c r="AL10" s="19">
        <f t="shared" si="11"/>
        <v>7.5539783037475354</v>
      </c>
      <c r="AM10" s="19">
        <f t="shared" si="12"/>
        <v>221.07548294082056</v>
      </c>
      <c r="AN10" s="19">
        <f t="shared" si="1"/>
        <v>155.76899558114602</v>
      </c>
      <c r="AO10" s="19">
        <f t="shared" si="13"/>
        <v>0.41278532145186497</v>
      </c>
      <c r="AP10" s="19">
        <f t="shared" si="2"/>
        <v>221.07548294082056</v>
      </c>
      <c r="AQ10" s="35"/>
      <c r="AT10" s="10"/>
      <c r="AU10" s="10"/>
      <c r="AV10" s="10"/>
    </row>
    <row r="11" spans="2:48" x14ac:dyDescent="0.25">
      <c r="B11" s="3" t="s">
        <v>27</v>
      </c>
      <c r="C11" s="5">
        <v>36</v>
      </c>
      <c r="D11" s="2">
        <v>13</v>
      </c>
      <c r="E11" s="2">
        <v>13</v>
      </c>
      <c r="F11" s="2">
        <v>13</v>
      </c>
      <c r="G11" s="2">
        <v>20</v>
      </c>
      <c r="H11" s="2">
        <v>15.3</v>
      </c>
      <c r="I11" s="2">
        <v>2</v>
      </c>
      <c r="J11" s="2">
        <v>0</v>
      </c>
      <c r="K11" s="2">
        <v>5.0999999999999996</v>
      </c>
      <c r="L11" s="2">
        <v>0</v>
      </c>
      <c r="M11" s="2">
        <v>0</v>
      </c>
      <c r="N11" s="2">
        <v>41.5</v>
      </c>
      <c r="O11" s="2">
        <v>700</v>
      </c>
      <c r="P11" s="4">
        <v>0.30902777777777779</v>
      </c>
      <c r="Q11" s="10"/>
      <c r="R11" s="41"/>
      <c r="S11" s="30">
        <f t="shared" si="3"/>
        <v>10.021000000000001</v>
      </c>
      <c r="T11" s="30">
        <v>5</v>
      </c>
      <c r="U11" s="30">
        <f t="shared" si="4"/>
        <v>0.70000000000000284</v>
      </c>
      <c r="V11" s="30">
        <f t="shared" si="14"/>
        <v>0.56193293885601803</v>
      </c>
      <c r="W11" s="30">
        <f t="shared" si="5"/>
        <v>0.13806706114398481</v>
      </c>
      <c r="X11" s="30">
        <f>V11+V10+V9+V8+V7+V6</f>
        <v>4.3349112426035497</v>
      </c>
      <c r="Y11" s="30">
        <f t="shared" si="6"/>
        <v>2.6050887573964507</v>
      </c>
      <c r="Z11" s="30">
        <f t="shared" si="7"/>
        <v>10.159067061143986</v>
      </c>
      <c r="AA11" s="31">
        <f t="shared" si="8"/>
        <v>0.25642992035757844</v>
      </c>
      <c r="AC11" s="18"/>
      <c r="AD11" s="18"/>
      <c r="AE11" s="24"/>
      <c r="AF11" s="25"/>
      <c r="AG11" s="19">
        <v>7</v>
      </c>
      <c r="AH11" s="19">
        <f t="shared" si="9"/>
        <v>0</v>
      </c>
      <c r="AI11" s="19">
        <f t="shared" si="0"/>
        <v>76</v>
      </c>
      <c r="AJ11" s="21">
        <v>0.28699999999999998</v>
      </c>
      <c r="AK11" s="19">
        <f t="shared" si="10"/>
        <v>4.9141345399999994E-2</v>
      </c>
      <c r="AL11" s="19">
        <f t="shared" si="11"/>
        <v>7.4159112426035509</v>
      </c>
      <c r="AM11" s="19">
        <f t="shared" si="12"/>
        <v>203.92197076476467</v>
      </c>
      <c r="AN11" s="19">
        <f t="shared" si="1"/>
        <v>150.90981295362644</v>
      </c>
      <c r="AO11" s="19">
        <f t="shared" si="13"/>
        <v>0.34486315060026901</v>
      </c>
      <c r="AP11" s="19">
        <f t="shared" si="2"/>
        <v>203.92197076476467</v>
      </c>
      <c r="AQ11" s="35"/>
      <c r="AT11" s="10"/>
      <c r="AU11" s="10"/>
      <c r="AV11" s="10"/>
    </row>
    <row r="12" spans="2:48" x14ac:dyDescent="0.25">
      <c r="B12" s="3" t="s">
        <v>28</v>
      </c>
      <c r="C12" s="5">
        <v>32.299999999999997</v>
      </c>
      <c r="D12" s="2">
        <v>13</v>
      </c>
      <c r="E12" s="2">
        <v>13</v>
      </c>
      <c r="F12" s="2">
        <v>13</v>
      </c>
      <c r="G12" s="2">
        <v>20</v>
      </c>
      <c r="H12" s="2">
        <v>11.2</v>
      </c>
      <c r="I12" s="2">
        <v>1</v>
      </c>
      <c r="J12" s="2">
        <v>0</v>
      </c>
      <c r="K12" s="2">
        <v>5.0999999999999996</v>
      </c>
      <c r="L12" s="2">
        <v>0</v>
      </c>
      <c r="M12" s="2">
        <v>0</v>
      </c>
      <c r="N12" s="2">
        <v>40.9</v>
      </c>
      <c r="O12" s="2">
        <v>600</v>
      </c>
      <c r="P12" s="4">
        <v>0.3125</v>
      </c>
      <c r="Q12" s="10"/>
      <c r="R12" s="41"/>
      <c r="S12" s="30">
        <f t="shared" si="3"/>
        <v>9.4209999999999994</v>
      </c>
      <c r="T12" s="30">
        <v>6</v>
      </c>
      <c r="U12" s="30">
        <f t="shared" si="4"/>
        <v>0.60000000000000142</v>
      </c>
      <c r="V12" s="30">
        <f t="shared" si="14"/>
        <v>0.48165680473372896</v>
      </c>
      <c r="W12" s="30">
        <f t="shared" si="5"/>
        <v>0.11834319526627246</v>
      </c>
      <c r="X12" s="30">
        <f>V12+V11+V10+V9+V8+V7+V6</f>
        <v>4.8165680473372783</v>
      </c>
      <c r="Y12" s="30">
        <f t="shared" si="6"/>
        <v>2.1234319526627221</v>
      </c>
      <c r="Z12" s="30">
        <f t="shared" si="7"/>
        <v>9.5393431952662713</v>
      </c>
      <c r="AA12" s="31">
        <f t="shared" si="8"/>
        <v>0.22259729094519184</v>
      </c>
      <c r="AC12" s="18"/>
      <c r="AD12" s="18"/>
      <c r="AE12" s="24"/>
      <c r="AF12" s="25"/>
      <c r="AG12" s="19">
        <v>7</v>
      </c>
      <c r="AH12" s="19">
        <f t="shared" si="9"/>
        <v>0</v>
      </c>
      <c r="AI12" s="19">
        <f t="shared" si="0"/>
        <v>76</v>
      </c>
      <c r="AJ12" s="21">
        <v>0.28699999999999998</v>
      </c>
      <c r="AK12" s="19">
        <f t="shared" si="10"/>
        <v>4.9141345399999994E-2</v>
      </c>
      <c r="AL12" s="19">
        <f t="shared" si="11"/>
        <v>7.2975680473372782</v>
      </c>
      <c r="AM12" s="19">
        <f t="shared" si="12"/>
        <v>191.71229284251547</v>
      </c>
      <c r="AN12" s="19">
        <f t="shared" si="1"/>
        <v>148.5015924561414</v>
      </c>
      <c r="AO12" s="19">
        <f t="shared" si="13"/>
        <v>0.28633459640992631</v>
      </c>
      <c r="AP12" s="19">
        <f t="shared" si="2"/>
        <v>191.71229284251547</v>
      </c>
      <c r="AQ12" s="35"/>
      <c r="AT12" s="10"/>
      <c r="AU12" s="10"/>
      <c r="AV12" s="10"/>
    </row>
    <row r="13" spans="2:48" x14ac:dyDescent="0.25">
      <c r="B13" s="3" t="s">
        <v>29</v>
      </c>
      <c r="C13" s="5">
        <v>37.799999999999997</v>
      </c>
      <c r="D13" s="2">
        <v>13</v>
      </c>
      <c r="E13" s="2">
        <v>13</v>
      </c>
      <c r="F13" s="2">
        <v>13</v>
      </c>
      <c r="G13" s="2">
        <v>20</v>
      </c>
      <c r="H13" s="2">
        <v>9</v>
      </c>
      <c r="I13" s="2">
        <v>1</v>
      </c>
      <c r="J13" s="2">
        <v>0</v>
      </c>
      <c r="K13" s="2">
        <v>5</v>
      </c>
      <c r="L13" s="2">
        <v>0</v>
      </c>
      <c r="M13" s="2">
        <v>0</v>
      </c>
      <c r="N13" s="2">
        <v>40.4</v>
      </c>
      <c r="O13" s="2">
        <v>500</v>
      </c>
      <c r="P13" s="4">
        <v>0.30902777777777779</v>
      </c>
      <c r="Q13" s="10"/>
      <c r="R13" s="41"/>
      <c r="S13" s="30">
        <f t="shared" si="3"/>
        <v>8.9209999999999994</v>
      </c>
      <c r="T13" s="30">
        <v>7</v>
      </c>
      <c r="U13" s="30">
        <f t="shared" si="4"/>
        <v>0.5</v>
      </c>
      <c r="V13" s="30">
        <f t="shared" si="14"/>
        <v>0.40138067061143984</v>
      </c>
      <c r="W13" s="30">
        <f t="shared" si="5"/>
        <v>9.8619329388560162E-2</v>
      </c>
      <c r="X13" s="30">
        <f>V13+V12+V11+V10+V9+V8+V7+V6</f>
        <v>5.217948717948719</v>
      </c>
      <c r="Y13" s="30">
        <f t="shared" si="6"/>
        <v>1.7220512820512814</v>
      </c>
      <c r="Z13" s="30">
        <f t="shared" si="7"/>
        <v>9.0196193293885596</v>
      </c>
      <c r="AA13" s="31">
        <f t="shared" si="8"/>
        <v>0.19092283378748973</v>
      </c>
      <c r="AC13" s="18"/>
      <c r="AD13" s="18"/>
      <c r="AE13" s="24"/>
      <c r="AF13" s="25"/>
      <c r="AG13" s="19">
        <v>8</v>
      </c>
      <c r="AH13" s="19">
        <f t="shared" si="9"/>
        <v>1</v>
      </c>
      <c r="AI13" s="19">
        <f t="shared" si="0"/>
        <v>75</v>
      </c>
      <c r="AJ13" s="21">
        <v>0.28699999999999998</v>
      </c>
      <c r="AK13" s="19">
        <f t="shared" si="10"/>
        <v>4.8494748749999997E-2</v>
      </c>
      <c r="AL13" s="19">
        <f t="shared" si="11"/>
        <v>7.1989487179487179</v>
      </c>
      <c r="AM13" s="19">
        <f t="shared" si="12"/>
        <v>183.95806205718304</v>
      </c>
      <c r="AN13" s="19">
        <f t="shared" si="1"/>
        <v>148.44800526879146</v>
      </c>
      <c r="AO13" s="19">
        <f t="shared" si="13"/>
        <v>0.23597604994990354</v>
      </c>
      <c r="AP13" s="19">
        <f t="shared" si="2"/>
        <v>183.95806205718304</v>
      </c>
      <c r="AQ13" s="35"/>
      <c r="AT13" s="10"/>
      <c r="AU13" s="10"/>
      <c r="AV13" s="10"/>
    </row>
    <row r="14" spans="2:48" x14ac:dyDescent="0.25">
      <c r="B14" s="3" t="s">
        <v>30</v>
      </c>
      <c r="C14" s="5">
        <v>39.4</v>
      </c>
      <c r="D14" s="2">
        <v>14</v>
      </c>
      <c r="E14" s="2">
        <v>14</v>
      </c>
      <c r="F14" s="2">
        <v>14</v>
      </c>
      <c r="G14" s="2">
        <v>20</v>
      </c>
      <c r="H14" s="2">
        <v>4.9000000000000004</v>
      </c>
      <c r="I14" s="2">
        <v>0</v>
      </c>
      <c r="J14" s="2">
        <v>0</v>
      </c>
      <c r="K14" s="2">
        <v>5</v>
      </c>
      <c r="L14" s="2">
        <v>0</v>
      </c>
      <c r="M14" s="2">
        <v>0</v>
      </c>
      <c r="N14" s="2">
        <v>40</v>
      </c>
      <c r="O14" s="2">
        <v>400</v>
      </c>
      <c r="P14" s="4">
        <v>0.30208333333333331</v>
      </c>
      <c r="Q14" s="10"/>
      <c r="R14" s="41"/>
      <c r="S14" s="30">
        <f t="shared" si="3"/>
        <v>8.5210000000000008</v>
      </c>
      <c r="T14" s="30">
        <v>8</v>
      </c>
      <c r="U14" s="30">
        <f t="shared" si="4"/>
        <v>0.39999999999999858</v>
      </c>
      <c r="V14" s="30">
        <f t="shared" si="14"/>
        <v>0.32110453648915072</v>
      </c>
      <c r="W14" s="30">
        <f t="shared" si="5"/>
        <v>7.8895463510847863E-2</v>
      </c>
      <c r="X14" s="30">
        <f>V14+V13+V12+V11+V10+V9+V8+V7+V6</f>
        <v>5.539053254437869</v>
      </c>
      <c r="Y14" s="30">
        <f t="shared" si="6"/>
        <v>1.4009467455621314</v>
      </c>
      <c r="Z14" s="30">
        <f t="shared" si="7"/>
        <v>8.5998954635108493</v>
      </c>
      <c r="AA14" s="31">
        <f t="shared" si="8"/>
        <v>0.16290276451688451</v>
      </c>
      <c r="AC14" s="18"/>
      <c r="AD14" s="18"/>
      <c r="AE14" s="24"/>
      <c r="AF14" s="25"/>
      <c r="AG14" s="19">
        <v>8</v>
      </c>
      <c r="AH14" s="19">
        <f t="shared" si="9"/>
        <v>0</v>
      </c>
      <c r="AI14" s="19">
        <f t="shared" si="0"/>
        <v>76</v>
      </c>
      <c r="AJ14" s="21">
        <v>0.28699999999999998</v>
      </c>
      <c r="AK14" s="19">
        <f t="shared" si="10"/>
        <v>4.9141345399999994E-2</v>
      </c>
      <c r="AL14" s="19">
        <f t="shared" si="11"/>
        <v>7.1200532544378703</v>
      </c>
      <c r="AM14" s="19">
        <f t="shared" si="12"/>
        <v>173.39777595914177</v>
      </c>
      <c r="AN14" s="19">
        <f t="shared" si="1"/>
        <v>144.88926170991385</v>
      </c>
      <c r="AO14" s="19">
        <f t="shared" si="13"/>
        <v>0.19460435133663792</v>
      </c>
      <c r="AP14" s="19">
        <f t="shared" si="2"/>
        <v>173.39777595914177</v>
      </c>
      <c r="AQ14" s="35"/>
      <c r="AT14" s="10"/>
      <c r="AU14" s="10"/>
      <c r="AV14" s="10"/>
    </row>
    <row r="15" spans="2:48" x14ac:dyDescent="0.25">
      <c r="B15" s="3" t="s">
        <v>31</v>
      </c>
      <c r="C15" s="5">
        <v>38.299999999999997</v>
      </c>
      <c r="D15" s="2">
        <v>14</v>
      </c>
      <c r="E15" s="2">
        <v>14</v>
      </c>
      <c r="F15" s="2">
        <v>14</v>
      </c>
      <c r="G15" s="2">
        <v>20</v>
      </c>
      <c r="H15" s="2">
        <v>3.7</v>
      </c>
      <c r="I15" s="2">
        <v>0</v>
      </c>
      <c r="J15" s="2">
        <v>0</v>
      </c>
      <c r="K15" s="2">
        <v>5</v>
      </c>
      <c r="L15" s="2">
        <v>0</v>
      </c>
      <c r="M15" s="2">
        <v>0</v>
      </c>
      <c r="N15" s="2">
        <v>39.799999999999997</v>
      </c>
      <c r="O15" s="2">
        <v>200</v>
      </c>
      <c r="P15" s="4">
        <v>0.32013888888888892</v>
      </c>
      <c r="Q15" s="10"/>
      <c r="R15" s="41"/>
      <c r="S15" s="30">
        <f t="shared" si="3"/>
        <v>8.320999999999998</v>
      </c>
      <c r="T15" s="30">
        <v>9</v>
      </c>
      <c r="U15" s="30">
        <f t="shared" si="4"/>
        <v>0.20000000000000284</v>
      </c>
      <c r="V15" s="30">
        <f t="shared" si="14"/>
        <v>0.16055226824457822</v>
      </c>
      <c r="W15" s="30">
        <f t="shared" si="5"/>
        <v>3.9447731755424625E-2</v>
      </c>
      <c r="X15" s="30">
        <f>V15+V14+V13+V12+V11+V10+V9+V8+V7+V6</f>
        <v>5.6996055226824467</v>
      </c>
      <c r="Y15" s="30">
        <f t="shared" si="6"/>
        <v>1.2403944773175537</v>
      </c>
      <c r="Z15" s="30">
        <f t="shared" si="7"/>
        <v>8.3604477317554231</v>
      </c>
      <c r="AA15" s="31">
        <f t="shared" si="8"/>
        <v>0.14836459925539311</v>
      </c>
      <c r="AC15" s="18"/>
      <c r="AD15" s="18"/>
      <c r="AE15" s="24"/>
      <c r="AF15" s="25"/>
      <c r="AG15" s="19">
        <v>8</v>
      </c>
      <c r="AH15" s="19">
        <f t="shared" si="9"/>
        <v>0</v>
      </c>
      <c r="AI15" s="19">
        <f t="shared" si="0"/>
        <v>76</v>
      </c>
      <c r="AJ15" s="21">
        <v>0.28699999999999998</v>
      </c>
      <c r="AK15" s="19">
        <f t="shared" si="10"/>
        <v>4.9141345399999994E-2</v>
      </c>
      <c r="AL15" s="19">
        <f t="shared" si="11"/>
        <v>7.080605522682446</v>
      </c>
      <c r="AM15" s="19">
        <f t="shared" si="12"/>
        <v>169.327883318392</v>
      </c>
      <c r="AN15" s="19">
        <f t="shared" si="1"/>
        <v>144.08652154408549</v>
      </c>
      <c r="AO15" s="19">
        <f t="shared" si="13"/>
        <v>0.17421140446448574</v>
      </c>
      <c r="AP15" s="19">
        <f t="shared" si="2"/>
        <v>169.327883318392</v>
      </c>
      <c r="AQ15" s="35"/>
      <c r="AT15" s="10"/>
      <c r="AU15" s="10"/>
      <c r="AV15" s="10"/>
    </row>
    <row r="16" spans="2:48" x14ac:dyDescent="0.25">
      <c r="B16" s="3" t="s">
        <v>32</v>
      </c>
      <c r="C16" s="5">
        <v>40.200000000000003</v>
      </c>
      <c r="D16" s="2">
        <v>14</v>
      </c>
      <c r="E16" s="2">
        <v>14</v>
      </c>
      <c r="F16" s="2">
        <v>14</v>
      </c>
      <c r="G16" s="2">
        <v>20</v>
      </c>
      <c r="H16" s="2">
        <v>2.7</v>
      </c>
      <c r="I16" s="2">
        <v>0</v>
      </c>
      <c r="J16" s="2">
        <v>0</v>
      </c>
      <c r="K16" s="2">
        <v>5</v>
      </c>
      <c r="L16" s="2">
        <v>0</v>
      </c>
      <c r="M16" s="2">
        <v>0</v>
      </c>
      <c r="N16" s="2">
        <v>39.5</v>
      </c>
      <c r="O16" s="2">
        <v>300</v>
      </c>
      <c r="P16" s="4">
        <v>0.31944444444444448</v>
      </c>
      <c r="Q16" s="10"/>
      <c r="R16" s="41"/>
      <c r="S16" s="30">
        <f t="shared" si="3"/>
        <v>8.0210000000000008</v>
      </c>
      <c r="T16" s="30">
        <v>10</v>
      </c>
      <c r="U16" s="30">
        <f t="shared" si="4"/>
        <v>0.29999999999999716</v>
      </c>
      <c r="V16" s="30">
        <f t="shared" si="14"/>
        <v>0.24082840236686162</v>
      </c>
      <c r="W16" s="30">
        <f t="shared" si="5"/>
        <v>5.9171597633135536E-2</v>
      </c>
      <c r="X16" s="30">
        <f>V16+V15+V14+V13+V12+V11+V10+V9+V8+V7+V6</f>
        <v>5.9404339250493088</v>
      </c>
      <c r="Y16" s="30">
        <f t="shared" si="6"/>
        <v>0.99956607495069161</v>
      </c>
      <c r="Z16" s="30">
        <f t="shared" si="7"/>
        <v>8.0801715976331359</v>
      </c>
      <c r="AA16" s="31">
        <f t="shared" si="8"/>
        <v>0.12370604545619886</v>
      </c>
      <c r="AC16" s="18"/>
      <c r="AD16" s="18"/>
      <c r="AE16" s="24"/>
      <c r="AF16" s="25"/>
      <c r="AG16" s="19">
        <v>8</v>
      </c>
      <c r="AH16" s="19">
        <f t="shared" si="9"/>
        <v>0</v>
      </c>
      <c r="AI16" s="19">
        <f t="shared" si="0"/>
        <v>76</v>
      </c>
      <c r="AJ16" s="21">
        <v>0.28699999999999998</v>
      </c>
      <c r="AK16" s="19">
        <f t="shared" si="10"/>
        <v>4.9141345399999994E-2</v>
      </c>
      <c r="AL16" s="19">
        <f t="shared" si="11"/>
        <v>7.0214339250493101</v>
      </c>
      <c r="AM16" s="19">
        <f t="shared" si="12"/>
        <v>163.22304435726747</v>
      </c>
      <c r="AN16" s="19">
        <f t="shared" si="1"/>
        <v>142.88241129534299</v>
      </c>
      <c r="AO16" s="19">
        <f t="shared" si="13"/>
        <v>0.14116957536309863</v>
      </c>
      <c r="AP16" s="19">
        <f t="shared" si="2"/>
        <v>163.22304435726747</v>
      </c>
      <c r="AQ16" s="35"/>
      <c r="AT16" s="10"/>
      <c r="AU16" s="10"/>
      <c r="AV16" s="10"/>
    </row>
    <row r="17" spans="2:48" x14ac:dyDescent="0.25">
      <c r="B17" s="6" t="s">
        <v>33</v>
      </c>
      <c r="C17" s="5">
        <v>42.4</v>
      </c>
      <c r="D17" s="2">
        <v>14</v>
      </c>
      <c r="E17" s="2">
        <v>14</v>
      </c>
      <c r="F17" s="2">
        <v>14</v>
      </c>
      <c r="G17" s="2">
        <v>20</v>
      </c>
      <c r="H17" s="2">
        <v>3.9</v>
      </c>
      <c r="I17" s="2">
        <v>1</v>
      </c>
      <c r="J17" s="2">
        <v>0</v>
      </c>
      <c r="K17" s="2">
        <v>5</v>
      </c>
      <c r="L17" s="2">
        <v>0</v>
      </c>
      <c r="M17" s="2">
        <v>0</v>
      </c>
      <c r="N17" s="2">
        <v>39.4</v>
      </c>
      <c r="O17" s="2">
        <v>100</v>
      </c>
      <c r="P17" s="4">
        <v>0.32361111111111113</v>
      </c>
      <c r="Q17" s="10"/>
      <c r="R17" s="41"/>
      <c r="S17" s="30">
        <f t="shared" si="3"/>
        <v>7.9209999999999994</v>
      </c>
      <c r="T17" s="30">
        <v>11</v>
      </c>
      <c r="U17" s="30">
        <f t="shared" si="4"/>
        <v>0.10000000000000142</v>
      </c>
      <c r="V17" s="30">
        <f t="shared" si="14"/>
        <v>8.0276134122289108E-2</v>
      </c>
      <c r="W17" s="30">
        <f t="shared" si="5"/>
        <v>1.9723865877712313E-2</v>
      </c>
      <c r="X17" s="30">
        <f>V17+V16+V15+V14+V13+V12+V11+V10+V9+V8+V7+V6</f>
        <v>6.0207100591715985</v>
      </c>
      <c r="Y17" s="30">
        <f t="shared" si="6"/>
        <v>0.91928994082840187</v>
      </c>
      <c r="Z17" s="30">
        <f t="shared" si="7"/>
        <v>7.940723865877712</v>
      </c>
      <c r="AA17" s="31">
        <f t="shared" si="8"/>
        <v>0.11576903521084599</v>
      </c>
      <c r="AC17" s="18"/>
      <c r="AD17" s="18"/>
      <c r="AE17" s="24"/>
      <c r="AF17" s="25"/>
      <c r="AG17" s="19">
        <v>8</v>
      </c>
      <c r="AH17" s="19">
        <f t="shared" si="9"/>
        <v>0</v>
      </c>
      <c r="AI17" s="19">
        <f t="shared" si="0"/>
        <v>76</v>
      </c>
      <c r="AJ17" s="21">
        <v>0.28699999999999998</v>
      </c>
      <c r="AK17" s="19">
        <f t="shared" si="10"/>
        <v>4.9141345399999994E-2</v>
      </c>
      <c r="AL17" s="19">
        <f t="shared" si="11"/>
        <v>7.0017100591715975</v>
      </c>
      <c r="AM17" s="19">
        <f t="shared" si="12"/>
        <v>161.18809803689257</v>
      </c>
      <c r="AN17" s="19">
        <f t="shared" si="1"/>
        <v>142.48104121242881</v>
      </c>
      <c r="AO17" s="19">
        <f t="shared" si="13"/>
        <v>0.13092623966007713</v>
      </c>
      <c r="AP17" s="19">
        <f t="shared" si="2"/>
        <v>161.18809803689257</v>
      </c>
      <c r="AQ17" s="35"/>
      <c r="AT17" s="10"/>
      <c r="AU17" s="10"/>
      <c r="AV17" s="10"/>
    </row>
    <row r="18" spans="2:48" x14ac:dyDescent="0.25">
      <c r="B18" s="3" t="s">
        <v>34</v>
      </c>
      <c r="C18" s="5">
        <v>33.700000000000003</v>
      </c>
      <c r="D18" s="2">
        <v>14</v>
      </c>
      <c r="E18" s="2">
        <v>14</v>
      </c>
      <c r="F18" s="2">
        <v>14</v>
      </c>
      <c r="G18" s="2">
        <v>20</v>
      </c>
      <c r="H18" s="2">
        <v>4.3</v>
      </c>
      <c r="I18" s="2">
        <v>0</v>
      </c>
      <c r="J18" s="2">
        <v>0</v>
      </c>
      <c r="K18" s="2">
        <v>5</v>
      </c>
      <c r="L18" s="2">
        <v>0</v>
      </c>
      <c r="M18" s="2">
        <v>0</v>
      </c>
      <c r="N18" s="2">
        <v>39.299999999999997</v>
      </c>
      <c r="O18" s="2">
        <v>100</v>
      </c>
      <c r="P18" s="4">
        <v>0.2951388888888889</v>
      </c>
      <c r="Q18" s="10"/>
      <c r="R18" s="41"/>
      <c r="S18" s="30">
        <f t="shared" si="3"/>
        <v>7.820999999999998</v>
      </c>
      <c r="T18" s="30">
        <v>12</v>
      </c>
      <c r="U18" s="30">
        <f t="shared" si="4"/>
        <v>0.10000000000000142</v>
      </c>
      <c r="V18" s="30">
        <f t="shared" si="14"/>
        <v>8.0276134122289108E-2</v>
      </c>
      <c r="W18" s="30">
        <f t="shared" si="5"/>
        <v>1.9723865877712313E-2</v>
      </c>
      <c r="X18" s="30">
        <f>V18+V17+V16+V15+V14+V13+V12+V11+V10+V9+V8+V7+V6</f>
        <v>6.1009861932938865</v>
      </c>
      <c r="Y18" s="30">
        <f t="shared" si="6"/>
        <v>0.83901380670611392</v>
      </c>
      <c r="Z18" s="30">
        <f t="shared" si="7"/>
        <v>7.8407238658777105</v>
      </c>
      <c r="AA18" s="31">
        <f t="shared" si="8"/>
        <v>0.10700718722635344</v>
      </c>
      <c r="AC18" s="18"/>
      <c r="AD18" s="18"/>
      <c r="AE18" s="24"/>
      <c r="AF18" s="25"/>
      <c r="AG18" s="19">
        <v>8</v>
      </c>
      <c r="AH18" s="19">
        <f t="shared" si="9"/>
        <v>0</v>
      </c>
      <c r="AI18" s="19">
        <f t="shared" si="0"/>
        <v>76</v>
      </c>
      <c r="AJ18" s="21">
        <v>0.28699999999999998</v>
      </c>
      <c r="AK18" s="19">
        <f t="shared" si="10"/>
        <v>4.9141345399999994E-2</v>
      </c>
      <c r="AL18" s="19">
        <f t="shared" si="11"/>
        <v>6.9819861932938849</v>
      </c>
      <c r="AM18" s="19">
        <f t="shared" si="12"/>
        <v>159.1531517165177</v>
      </c>
      <c r="AN18" s="19">
        <f t="shared" si="1"/>
        <v>142.07967112951462</v>
      </c>
      <c r="AO18" s="19">
        <f t="shared" si="13"/>
        <v>0.1198298415123721</v>
      </c>
      <c r="AP18" s="19">
        <f t="shared" si="2"/>
        <v>159.1531517165177</v>
      </c>
      <c r="AQ18" s="35"/>
      <c r="AT18" s="10"/>
      <c r="AU18" s="10"/>
      <c r="AV18" s="10"/>
    </row>
    <row r="19" spans="2:48" x14ac:dyDescent="0.25">
      <c r="B19" s="3" t="s">
        <v>35</v>
      </c>
      <c r="C19" s="5">
        <v>28.3</v>
      </c>
      <c r="D19" s="2">
        <v>14</v>
      </c>
      <c r="E19" s="2">
        <v>14</v>
      </c>
      <c r="F19" s="2">
        <v>14</v>
      </c>
      <c r="G19" s="2">
        <v>20</v>
      </c>
      <c r="H19" s="2">
        <v>3.9</v>
      </c>
      <c r="I19" s="2">
        <v>0</v>
      </c>
      <c r="J19" s="2">
        <v>0</v>
      </c>
      <c r="K19" s="2">
        <v>5</v>
      </c>
      <c r="L19" s="2">
        <v>0</v>
      </c>
      <c r="M19" s="2">
        <v>0</v>
      </c>
      <c r="N19" s="2">
        <v>39.299999999999997</v>
      </c>
      <c r="O19" s="2">
        <v>0</v>
      </c>
      <c r="P19" s="4">
        <v>0.31388888888888888</v>
      </c>
      <c r="Q19" s="10"/>
      <c r="R19" s="41"/>
      <c r="S19" s="30">
        <f t="shared" si="3"/>
        <v>7.820999999999998</v>
      </c>
      <c r="T19" s="30">
        <v>13</v>
      </c>
      <c r="U19" s="30">
        <f t="shared" si="4"/>
        <v>0</v>
      </c>
      <c r="V19" s="30">
        <f t="shared" si="14"/>
        <v>0</v>
      </c>
      <c r="W19" s="30">
        <f t="shared" si="5"/>
        <v>0</v>
      </c>
      <c r="X19" s="30">
        <f>V19+V18+V17+V16+V15+V14+V13+V12+V11+V10+V9+V8+V7+V6</f>
        <v>6.1009861932938865</v>
      </c>
      <c r="Y19" s="30">
        <f t="shared" si="6"/>
        <v>0.83901380670611392</v>
      </c>
      <c r="Z19" s="30">
        <f t="shared" si="7"/>
        <v>7.820999999999998</v>
      </c>
      <c r="AA19" s="31">
        <f t="shared" si="8"/>
        <v>0.10727704982816956</v>
      </c>
      <c r="AC19" s="18"/>
      <c r="AD19" s="18"/>
      <c r="AG19" s="19">
        <v>8</v>
      </c>
      <c r="AH19" s="19">
        <f t="shared" si="9"/>
        <v>0</v>
      </c>
      <c r="AI19" s="19">
        <f t="shared" si="0"/>
        <v>76</v>
      </c>
      <c r="AJ19" s="21">
        <v>0.28699999999999998</v>
      </c>
      <c r="AK19" s="19">
        <f t="shared" si="10"/>
        <v>4.9141345399999994E-2</v>
      </c>
      <c r="AL19" s="19">
        <f t="shared" si="11"/>
        <v>6.9819861932938849</v>
      </c>
      <c r="AM19" s="19">
        <f t="shared" si="12"/>
        <v>159.1531517165177</v>
      </c>
      <c r="AN19" s="19">
        <f t="shared" si="1"/>
        <v>142.07967112951462</v>
      </c>
      <c r="AO19" s="19">
        <f t="shared" si="13"/>
        <v>0.12016835660774822</v>
      </c>
      <c r="AP19" s="19">
        <f t="shared" si="2"/>
        <v>159.1531517165177</v>
      </c>
      <c r="AQ19" s="35"/>
      <c r="AT19" s="10"/>
      <c r="AU19" s="10"/>
      <c r="AV19" s="10"/>
    </row>
    <row r="20" spans="2:48" x14ac:dyDescent="0.25">
      <c r="B20" s="3" t="s">
        <v>36</v>
      </c>
      <c r="C20" s="2">
        <v>28.2</v>
      </c>
      <c r="D20" s="2">
        <v>14</v>
      </c>
      <c r="E20" s="2">
        <v>14</v>
      </c>
      <c r="F20" s="2">
        <v>14</v>
      </c>
      <c r="G20" s="2">
        <v>20</v>
      </c>
      <c r="H20" s="2">
        <v>3.2</v>
      </c>
      <c r="I20" s="2">
        <v>0</v>
      </c>
      <c r="J20" s="2">
        <v>0</v>
      </c>
      <c r="K20" s="2">
        <v>4.9000000000000004</v>
      </c>
      <c r="L20" s="2">
        <v>0</v>
      </c>
      <c r="M20" s="2">
        <v>0</v>
      </c>
      <c r="N20" s="2">
        <v>39.200000000000003</v>
      </c>
      <c r="O20" s="2">
        <v>100</v>
      </c>
      <c r="P20" s="4">
        <v>0.30555555555555552</v>
      </c>
      <c r="Q20" s="39"/>
      <c r="R20" s="41"/>
      <c r="S20" s="30">
        <f t="shared" ref="S20" si="15">N20-31.479</f>
        <v>7.7210000000000036</v>
      </c>
      <c r="T20" s="30">
        <v>14</v>
      </c>
      <c r="U20" s="30">
        <f t="shared" si="4"/>
        <v>9.9999999999994316E-2</v>
      </c>
      <c r="V20" s="30">
        <f t="shared" si="14"/>
        <v>8.0276134122283405E-2</v>
      </c>
      <c r="W20" s="30">
        <f t="shared" si="5"/>
        <v>1.9723865877710911E-2</v>
      </c>
      <c r="X20" s="30">
        <f>V20+V19+V18+V17+V16+V15+V14+V13+V12+V11+V10+V9+V8+V7</f>
        <v>6.1812623274161709</v>
      </c>
      <c r="Y20" s="30">
        <f t="shared" si="6"/>
        <v>0.75873767258382951</v>
      </c>
      <c r="Z20" s="30">
        <f t="shared" si="7"/>
        <v>7.7407238658777144</v>
      </c>
      <c r="AA20" s="31">
        <f t="shared" si="8"/>
        <v>9.8018956073147159E-2</v>
      </c>
      <c r="AE20" s="26" t="s">
        <v>310</v>
      </c>
      <c r="AF20" s="27">
        <v>1750</v>
      </c>
      <c r="AG20" s="19">
        <v>8</v>
      </c>
      <c r="AH20" s="19">
        <f t="shared" ref="AH20" si="16">AG20-AG19</f>
        <v>0</v>
      </c>
      <c r="AI20" s="19">
        <f t="shared" si="0"/>
        <v>76</v>
      </c>
      <c r="AJ20" s="21">
        <v>0.28699999999999998</v>
      </c>
      <c r="AK20" s="19">
        <f t="shared" si="10"/>
        <v>4.9141345399999994E-2</v>
      </c>
      <c r="AL20" s="19">
        <f t="shared" si="11"/>
        <v>6.9622623274161741</v>
      </c>
      <c r="AM20" s="19">
        <f t="shared" si="12"/>
        <v>157.11820539614294</v>
      </c>
      <c r="AN20" s="19">
        <f t="shared" ref="AN20" si="17">AL20/AK20</f>
        <v>141.67830104660047</v>
      </c>
      <c r="AO20" s="19">
        <f t="shared" si="13"/>
        <v>0.10867074949426112</v>
      </c>
      <c r="AP20" s="19">
        <f t="shared" ref="AP20" si="18">AM20/(1+AQ20)</f>
        <v>157.11820539614294</v>
      </c>
      <c r="AQ20" s="35"/>
      <c r="AT20" s="10"/>
      <c r="AU20" s="10"/>
      <c r="AV20" s="10"/>
    </row>
    <row r="21" spans="2:48" x14ac:dyDescent="0.25">
      <c r="B21" s="39"/>
      <c r="C21" s="3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40"/>
      <c r="P21" s="10"/>
      <c r="Q21" s="10"/>
      <c r="R21" s="42"/>
      <c r="W21" s="30"/>
      <c r="AA21" s="31"/>
      <c r="AQ21" s="35"/>
    </row>
    <row r="22" spans="2:48" x14ac:dyDescent="0.25">
      <c r="B22" s="63" t="s">
        <v>303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10"/>
      <c r="R22" s="42"/>
      <c r="S22" s="63" t="s">
        <v>305</v>
      </c>
      <c r="T22" s="63"/>
      <c r="U22" s="63"/>
      <c r="V22" s="63"/>
      <c r="W22" s="63"/>
      <c r="X22" s="63"/>
      <c r="Y22" s="63"/>
      <c r="Z22" s="63"/>
      <c r="AA22" s="63"/>
      <c r="AG22" s="63" t="s">
        <v>305</v>
      </c>
      <c r="AH22" s="63"/>
      <c r="AI22" s="63"/>
      <c r="AJ22" s="63"/>
      <c r="AK22" s="63"/>
      <c r="AL22" s="63"/>
      <c r="AM22" s="63"/>
      <c r="AN22" s="63"/>
      <c r="AO22" s="63"/>
      <c r="AP22" s="63"/>
      <c r="AQ22" s="35"/>
    </row>
    <row r="23" spans="2:48" x14ac:dyDescent="0.25">
      <c r="B23" s="3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0"/>
      <c r="P23" s="10"/>
      <c r="Q23" s="10"/>
      <c r="R23" s="42"/>
      <c r="AQ23" s="35"/>
    </row>
    <row r="24" spans="2:48" x14ac:dyDescent="0.25">
      <c r="B24" s="3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0"/>
      <c r="P24" s="10"/>
      <c r="Q24" s="10"/>
      <c r="R24" s="42"/>
      <c r="S24" t="s">
        <v>313</v>
      </c>
      <c r="X24" s="8">
        <v>6.94</v>
      </c>
      <c r="AQ24" s="35"/>
    </row>
    <row r="25" spans="2:48" x14ac:dyDescent="0.25">
      <c r="B25" s="3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0"/>
      <c r="P25" s="10"/>
      <c r="Q25" s="10"/>
      <c r="R25" s="42"/>
      <c r="S25" t="s">
        <v>312</v>
      </c>
      <c r="X25" s="8">
        <v>0.50800000000000001</v>
      </c>
      <c r="AQ25" s="35"/>
    </row>
    <row r="26" spans="2:48" x14ac:dyDescent="0.25">
      <c r="B26" s="3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0"/>
      <c r="P26" s="10"/>
      <c r="Q26" s="10"/>
      <c r="R26" s="42"/>
      <c r="S26" t="s">
        <v>311</v>
      </c>
      <c r="X26" s="8">
        <f>S6-S20</f>
        <v>7.6999999999999957</v>
      </c>
      <c r="Z26" s="8"/>
      <c r="AQ26" s="35"/>
    </row>
    <row r="27" spans="2:48" x14ac:dyDescent="0.25">
      <c r="S27" t="s">
        <v>314</v>
      </c>
      <c r="X27" s="8">
        <f>X24-X25</f>
        <v>6.4320000000000004</v>
      </c>
      <c r="AQ27" s="35"/>
    </row>
    <row r="28" spans="2:48" x14ac:dyDescent="0.25">
      <c r="S28" t="s">
        <v>315</v>
      </c>
      <c r="X28" s="8">
        <f>X26-X27</f>
        <v>1.2679999999999954</v>
      </c>
      <c r="Y28" s="18"/>
      <c r="AQ28" s="35"/>
    </row>
    <row r="29" spans="2:48" x14ac:dyDescent="0.25">
      <c r="AQ29" s="35"/>
    </row>
    <row r="30" spans="2:48" x14ac:dyDescent="0.25">
      <c r="S30" t="s">
        <v>316</v>
      </c>
      <c r="X30" s="29">
        <f>X27/X28</f>
        <v>5.0725552050473377</v>
      </c>
      <c r="AQ30" s="35"/>
    </row>
    <row r="31" spans="2:48" x14ac:dyDescent="0.25">
      <c r="AQ31" s="35"/>
    </row>
    <row r="32" spans="2:48" x14ac:dyDescent="0.25">
      <c r="AQ32" s="38"/>
    </row>
    <row r="33" spans="1:43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10" spans="46:46" x14ac:dyDescent="0.25">
      <c r="AT410" s="7"/>
    </row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54" spans="46:46" x14ac:dyDescent="0.25">
      <c r="AT554" s="7"/>
    </row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84" spans="46:46" x14ac:dyDescent="0.25">
      <c r="AT684" s="7"/>
    </row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3702" customFormat="1" x14ac:dyDescent="0.25"/>
    <row r="13703" customFormat="1" x14ac:dyDescent="0.25"/>
    <row r="13704" customFormat="1" x14ac:dyDescent="0.25"/>
    <row r="13705" customFormat="1" x14ac:dyDescent="0.25"/>
    <row r="13706" customFormat="1" x14ac:dyDescent="0.25"/>
    <row r="13707" customFormat="1" x14ac:dyDescent="0.25"/>
    <row r="13708" customFormat="1" x14ac:dyDescent="0.25"/>
    <row r="13709" customFormat="1" x14ac:dyDescent="0.25"/>
    <row r="13710" customFormat="1" x14ac:dyDescent="0.25"/>
    <row r="13711" customFormat="1" x14ac:dyDescent="0.25"/>
    <row r="13712" customFormat="1" x14ac:dyDescent="0.25"/>
    <row r="13713" customFormat="1" x14ac:dyDescent="0.25"/>
    <row r="13714" customFormat="1" x14ac:dyDescent="0.25"/>
    <row r="13715" customFormat="1" x14ac:dyDescent="0.25"/>
    <row r="13716" customFormat="1" x14ac:dyDescent="0.25"/>
    <row r="16190" customFormat="1" x14ac:dyDescent="0.25"/>
    <row r="16191" customFormat="1" x14ac:dyDescent="0.25"/>
  </sheetData>
  <mergeCells count="3">
    <mergeCell ref="B22:P22"/>
    <mergeCell ref="S22:AA22"/>
    <mergeCell ref="AG22:AP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1B16A-890E-4929-A1A5-08C74B563122}">
  <dimension ref="A1:AW1936"/>
  <sheetViews>
    <sheetView zoomScaleNormal="100" workbookViewId="0">
      <selection activeCell="O33" sqref="O33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2.2851562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</cols>
  <sheetData>
    <row r="1" spans="2:49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9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9" x14ac:dyDescent="0.25">
      <c r="L3" s="9"/>
      <c r="M3" s="10"/>
      <c r="AQ3" s="35"/>
    </row>
    <row r="4" spans="2:49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341</v>
      </c>
      <c r="W4" s="17" t="s">
        <v>342</v>
      </c>
      <c r="X4" s="17" t="s">
        <v>343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9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9" x14ac:dyDescent="0.25">
      <c r="B6" s="3" t="s">
        <v>37</v>
      </c>
      <c r="C6" s="5">
        <v>27.2</v>
      </c>
      <c r="D6" s="2">
        <v>5</v>
      </c>
      <c r="E6" s="2">
        <v>5</v>
      </c>
      <c r="F6" s="2">
        <v>5</v>
      </c>
      <c r="G6" s="2">
        <v>20</v>
      </c>
      <c r="H6" s="2">
        <v>0</v>
      </c>
      <c r="I6" s="2">
        <v>0</v>
      </c>
      <c r="J6" s="2">
        <v>0</v>
      </c>
      <c r="K6" s="2">
        <v>21</v>
      </c>
      <c r="L6" s="2">
        <v>0</v>
      </c>
      <c r="M6" s="2">
        <v>0</v>
      </c>
      <c r="N6" s="2">
        <v>38.299999999999997</v>
      </c>
      <c r="O6" s="2">
        <v>0</v>
      </c>
      <c r="P6" s="4">
        <v>0.44791666666666669</v>
      </c>
      <c r="Q6" s="10"/>
      <c r="R6" s="41"/>
      <c r="S6" s="30">
        <f>N6-25.249</f>
        <v>13.050999999999998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4.57</v>
      </c>
      <c r="Z6" s="30">
        <f>S6-V6</f>
        <v>13.050999999999998</v>
      </c>
      <c r="AA6" s="31">
        <f>Y6/Z6</f>
        <v>0.35016473833422734</v>
      </c>
      <c r="AC6" s="18"/>
      <c r="AD6" s="18">
        <v>1000</v>
      </c>
      <c r="AE6" s="22" t="s">
        <v>309</v>
      </c>
      <c r="AF6" s="23">
        <v>1450</v>
      </c>
      <c r="AG6" s="19">
        <v>0</v>
      </c>
      <c r="AH6" s="19">
        <v>0</v>
      </c>
      <c r="AI6" s="19">
        <f t="shared" ref="AI6:AI19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8.4809999999999999</v>
      </c>
      <c r="AM6" s="19">
        <f>S6/AK6</f>
        <v>265.58084427212282</v>
      </c>
      <c r="AN6" s="19">
        <f t="shared" ref="AN6:AN19" si="1">AL6/AK6</f>
        <v>172.58379743099181</v>
      </c>
      <c r="AO6" s="19">
        <f>(AA6/(1-AA6))</f>
        <v>0.53885155052470246</v>
      </c>
      <c r="AP6" s="19">
        <f t="shared" ref="AP6:AP19" si="2">AM6/(1+AQ6)</f>
        <v>265.58084427212282</v>
      </c>
      <c r="AQ6" s="35"/>
      <c r="AT6" s="10"/>
      <c r="AU6" s="10"/>
      <c r="AV6" s="10"/>
      <c r="AW6" s="10"/>
    </row>
    <row r="7" spans="2:49" x14ac:dyDescent="0.25">
      <c r="B7" s="3" t="s">
        <v>38</v>
      </c>
      <c r="C7" s="5">
        <v>60.1</v>
      </c>
      <c r="D7" s="2">
        <v>5</v>
      </c>
      <c r="E7" s="2">
        <v>5</v>
      </c>
      <c r="F7" s="2">
        <v>5</v>
      </c>
      <c r="G7" s="2">
        <v>20</v>
      </c>
      <c r="H7" s="2">
        <v>35.9</v>
      </c>
      <c r="I7" s="2">
        <v>0</v>
      </c>
      <c r="J7" s="2">
        <v>0</v>
      </c>
      <c r="K7" s="2">
        <v>4.7</v>
      </c>
      <c r="L7" s="2">
        <v>0</v>
      </c>
      <c r="M7" s="2">
        <v>0</v>
      </c>
      <c r="N7" s="2">
        <v>37.4</v>
      </c>
      <c r="O7" s="2">
        <v>900</v>
      </c>
      <c r="P7" s="4">
        <v>0.31458333333333333</v>
      </c>
      <c r="Q7" s="10"/>
      <c r="R7" s="41"/>
      <c r="S7" s="30">
        <f t="shared" ref="S7:S19" si="3">N7-25.249</f>
        <v>12.151</v>
      </c>
      <c r="T7" s="30">
        <v>1</v>
      </c>
      <c r="U7" s="30">
        <f t="shared" ref="U7:U19" si="4">S6-S7</f>
        <v>0.89999999999999858</v>
      </c>
      <c r="V7" s="30">
        <f>U7-(U7/9.06)</f>
        <v>0.80066225165562788</v>
      </c>
      <c r="W7" s="30">
        <f t="shared" ref="W7:W19" si="5">U7-V7</f>
        <v>9.9337748344370702E-2</v>
      </c>
      <c r="X7" s="30">
        <f>V7+V6</f>
        <v>0.80066225165562788</v>
      </c>
      <c r="Y7" s="30">
        <f>4.57-X7</f>
        <v>3.7693377483443724</v>
      </c>
      <c r="Z7" s="30">
        <f t="shared" ref="Z7:Z19" si="6">S6-V7</f>
        <v>12.250337748344371</v>
      </c>
      <c r="AA7" s="31">
        <f t="shared" ref="AA7:AA19" si="7">Y7/Z7</f>
        <v>0.30769255719939614</v>
      </c>
      <c r="AC7" s="18"/>
      <c r="AD7" s="18"/>
      <c r="AE7" s="24"/>
      <c r="AF7" s="25"/>
      <c r="AG7" s="19">
        <v>0</v>
      </c>
      <c r="AH7" s="19">
        <f t="shared" ref="AH7:AH19" si="8">AG7-AG6</f>
        <v>0</v>
      </c>
      <c r="AI7" s="19">
        <f t="shared" si="0"/>
        <v>76</v>
      </c>
      <c r="AJ7" s="21">
        <v>0.28699999999999998</v>
      </c>
      <c r="AK7" s="19">
        <f t="shared" ref="AK7:AK19" si="9">((($AJ$6*$AJ$6)*3.14)/4)*(AI7/100)</f>
        <v>4.9141345399999994E-2</v>
      </c>
      <c r="AL7" s="19">
        <f t="shared" ref="AL7:AL19" si="10">AL6-W7</f>
        <v>8.3816622516556301</v>
      </c>
      <c r="AM7" s="19">
        <f t="shared" ref="AM7:AM19" si="11">S7/AK7</f>
        <v>247.26632738874912</v>
      </c>
      <c r="AN7" s="19">
        <f t="shared" si="1"/>
        <v>170.5623275763148</v>
      </c>
      <c r="AO7" s="19">
        <f t="shared" ref="AO7:AO19" si="12">(AA7/(1-AA7))</f>
        <v>0.44444496502114994</v>
      </c>
      <c r="AP7" s="19">
        <f t="shared" si="2"/>
        <v>247.26632738874912</v>
      </c>
      <c r="AQ7" s="35"/>
      <c r="AT7" s="10"/>
      <c r="AU7" s="10"/>
      <c r="AV7" s="10"/>
      <c r="AW7" s="10"/>
    </row>
    <row r="8" spans="2:49" x14ac:dyDescent="0.25">
      <c r="B8" s="3" t="s">
        <v>39</v>
      </c>
      <c r="C8" s="5">
        <v>42.7</v>
      </c>
      <c r="D8" s="2">
        <v>6</v>
      </c>
      <c r="E8" s="2">
        <v>6</v>
      </c>
      <c r="F8" s="2">
        <v>6</v>
      </c>
      <c r="G8" s="2">
        <v>20</v>
      </c>
      <c r="H8" s="2">
        <v>25.2</v>
      </c>
      <c r="I8" s="2">
        <v>1</v>
      </c>
      <c r="J8" s="2">
        <v>0</v>
      </c>
      <c r="K8" s="2">
        <v>4.7</v>
      </c>
      <c r="L8" s="2">
        <v>0</v>
      </c>
      <c r="M8" s="2">
        <v>0</v>
      </c>
      <c r="N8" s="2">
        <v>35.6</v>
      </c>
      <c r="O8" s="2">
        <v>1800</v>
      </c>
      <c r="P8" s="4">
        <v>0.30902777777777779</v>
      </c>
      <c r="Q8" s="10"/>
      <c r="R8" s="41"/>
      <c r="S8" s="30">
        <f t="shared" si="3"/>
        <v>10.351000000000003</v>
      </c>
      <c r="T8" s="30">
        <v>2</v>
      </c>
      <c r="U8" s="30">
        <f t="shared" si="4"/>
        <v>1.7999999999999972</v>
      </c>
      <c r="V8" s="30">
        <f t="shared" ref="V8:V19" si="13">U8-(U8/9.06)</f>
        <v>1.6013245033112558</v>
      </c>
      <c r="W8" s="30">
        <f t="shared" si="5"/>
        <v>0.1986754966887414</v>
      </c>
      <c r="X8" s="30">
        <f>V7+V8+V6</f>
        <v>2.4019867549668836</v>
      </c>
      <c r="Y8" s="30">
        <f t="shared" ref="Y8:Y18" si="14">4.57-X8</f>
        <v>2.1680132450331167</v>
      </c>
      <c r="Z8" s="30">
        <f t="shared" si="6"/>
        <v>10.549675496688744</v>
      </c>
      <c r="AA8" s="31">
        <f t="shared" si="7"/>
        <v>0.20550520683916743</v>
      </c>
      <c r="AC8" s="18"/>
      <c r="AD8" s="18"/>
      <c r="AE8" s="24"/>
      <c r="AF8" s="25"/>
      <c r="AG8" s="19">
        <v>1</v>
      </c>
      <c r="AH8" s="19">
        <f t="shared" si="8"/>
        <v>1</v>
      </c>
      <c r="AI8" s="19">
        <f t="shared" si="0"/>
        <v>75</v>
      </c>
      <c r="AJ8" s="21">
        <v>0.28699999999999998</v>
      </c>
      <c r="AK8" s="19">
        <f t="shared" si="9"/>
        <v>4.8494748749999997E-2</v>
      </c>
      <c r="AL8" s="19">
        <f t="shared" si="10"/>
        <v>8.1829867549668887</v>
      </c>
      <c r="AM8" s="19">
        <f t="shared" si="11"/>
        <v>213.44579087029507</v>
      </c>
      <c r="AN8" s="19">
        <f t="shared" si="1"/>
        <v>168.73964637185361</v>
      </c>
      <c r="AO8" s="19">
        <f t="shared" si="12"/>
        <v>0.25866148980232051</v>
      </c>
      <c r="AP8" s="19">
        <f t="shared" si="2"/>
        <v>213.44579087029507</v>
      </c>
      <c r="AQ8" s="35"/>
      <c r="AT8" s="10"/>
      <c r="AU8" s="10"/>
      <c r="AV8" s="10"/>
      <c r="AW8" s="10"/>
    </row>
    <row r="9" spans="2:49" x14ac:dyDescent="0.25">
      <c r="B9" s="3" t="s">
        <v>40</v>
      </c>
      <c r="C9" s="5">
        <v>28.5</v>
      </c>
      <c r="D9" s="2">
        <v>6</v>
      </c>
      <c r="E9" s="2">
        <v>6</v>
      </c>
      <c r="F9" s="2">
        <v>6</v>
      </c>
      <c r="G9" s="2">
        <v>20</v>
      </c>
      <c r="H9" s="2">
        <v>3.4</v>
      </c>
      <c r="I9" s="2">
        <v>0</v>
      </c>
      <c r="J9" s="2">
        <v>0</v>
      </c>
      <c r="K9" s="2">
        <v>4.7</v>
      </c>
      <c r="L9" s="2">
        <v>0</v>
      </c>
      <c r="M9" s="2">
        <v>0</v>
      </c>
      <c r="N9" s="2">
        <v>34.799999999999997</v>
      </c>
      <c r="O9" s="2">
        <v>800</v>
      </c>
      <c r="P9" s="4">
        <v>0.375</v>
      </c>
      <c r="Q9" s="10"/>
      <c r="R9" s="41"/>
      <c r="S9" s="30">
        <f t="shared" si="3"/>
        <v>9.5509999999999984</v>
      </c>
      <c r="T9" s="30">
        <v>3</v>
      </c>
      <c r="U9" s="30">
        <f t="shared" si="4"/>
        <v>0.80000000000000426</v>
      </c>
      <c r="V9" s="30">
        <f t="shared" si="13"/>
        <v>0.71169977924945194</v>
      </c>
      <c r="W9" s="30">
        <f t="shared" si="5"/>
        <v>8.8300220750552327E-2</v>
      </c>
      <c r="X9" s="30">
        <f>V9+V8+V7+V6</f>
        <v>3.1136865342163356</v>
      </c>
      <c r="Y9" s="30">
        <f t="shared" si="14"/>
        <v>1.4563134657836647</v>
      </c>
      <c r="Z9" s="30">
        <f t="shared" si="6"/>
        <v>9.6393002207505507</v>
      </c>
      <c r="AA9" s="31">
        <f t="shared" si="7"/>
        <v>0.15108082873574727</v>
      </c>
      <c r="AC9" s="18"/>
      <c r="AD9" s="18"/>
      <c r="AE9" s="24"/>
      <c r="AF9" s="25"/>
      <c r="AG9" s="19">
        <v>1</v>
      </c>
      <c r="AH9" s="19">
        <f t="shared" si="8"/>
        <v>0</v>
      </c>
      <c r="AI9" s="19">
        <f t="shared" si="0"/>
        <v>76</v>
      </c>
      <c r="AJ9" s="21">
        <v>0.28699999999999998</v>
      </c>
      <c r="AK9" s="19">
        <f t="shared" si="9"/>
        <v>4.9141345399999994E-2</v>
      </c>
      <c r="AL9" s="19">
        <f t="shared" si="10"/>
        <v>8.0946865342163363</v>
      </c>
      <c r="AM9" s="19">
        <f t="shared" si="11"/>
        <v>194.35772305900275</v>
      </c>
      <c r="AN9" s="19">
        <f t="shared" si="1"/>
        <v>164.72252577391455</v>
      </c>
      <c r="AO9" s="19">
        <f t="shared" si="12"/>
        <v>0.17796844958837502</v>
      </c>
      <c r="AP9" s="19">
        <f t="shared" si="2"/>
        <v>194.35772305900275</v>
      </c>
      <c r="AQ9" s="35"/>
      <c r="AT9" s="10"/>
      <c r="AU9" s="10"/>
      <c r="AV9" s="10"/>
      <c r="AW9" s="10"/>
    </row>
    <row r="10" spans="2:49" x14ac:dyDescent="0.25">
      <c r="B10" s="3" t="s">
        <v>41</v>
      </c>
      <c r="C10" s="5">
        <v>24.3</v>
      </c>
      <c r="D10" s="2">
        <v>8</v>
      </c>
      <c r="E10" s="2">
        <v>8</v>
      </c>
      <c r="F10" s="2">
        <v>8</v>
      </c>
      <c r="G10" s="2">
        <v>20</v>
      </c>
      <c r="H10" s="2">
        <v>5.0999999999999996</v>
      </c>
      <c r="I10" s="2">
        <v>0</v>
      </c>
      <c r="J10" s="2">
        <v>0</v>
      </c>
      <c r="K10" s="2">
        <v>4.7</v>
      </c>
      <c r="L10" s="2">
        <v>0</v>
      </c>
      <c r="M10" s="2">
        <v>0</v>
      </c>
      <c r="N10" s="2">
        <v>34.5</v>
      </c>
      <c r="O10" s="2">
        <v>300</v>
      </c>
      <c r="P10" s="4">
        <v>0.3125</v>
      </c>
      <c r="Q10" s="10"/>
      <c r="R10" s="41"/>
      <c r="S10" s="30">
        <f t="shared" si="3"/>
        <v>9.2510000000000012</v>
      </c>
      <c r="T10" s="30">
        <v>4</v>
      </c>
      <c r="U10" s="30">
        <f t="shared" si="4"/>
        <v>0.29999999999999716</v>
      </c>
      <c r="V10" s="30">
        <f t="shared" si="13"/>
        <v>0.26688741721854053</v>
      </c>
      <c r="W10" s="30">
        <f t="shared" si="5"/>
        <v>3.3112582781456623E-2</v>
      </c>
      <c r="X10" s="30">
        <f>V10+V9+V8+V7+V6</f>
        <v>3.3805739514348758</v>
      </c>
      <c r="Y10" s="30">
        <f t="shared" si="14"/>
        <v>1.1894260485651245</v>
      </c>
      <c r="Z10" s="30">
        <f t="shared" si="6"/>
        <v>9.2841125827814572</v>
      </c>
      <c r="AA10" s="31">
        <f t="shared" si="7"/>
        <v>0.12811413454540213</v>
      </c>
      <c r="AC10" s="18"/>
      <c r="AD10" s="18"/>
      <c r="AE10" s="24"/>
      <c r="AF10" s="25"/>
      <c r="AG10" s="19">
        <v>3</v>
      </c>
      <c r="AH10" s="19">
        <f t="shared" si="8"/>
        <v>2</v>
      </c>
      <c r="AI10" s="19">
        <f t="shared" si="0"/>
        <v>74</v>
      </c>
      <c r="AJ10" s="21">
        <v>0.28699999999999998</v>
      </c>
      <c r="AK10" s="19">
        <f t="shared" si="9"/>
        <v>4.7848152099999992E-2</v>
      </c>
      <c r="AL10" s="19">
        <f t="shared" si="10"/>
        <v>8.0615739514348803</v>
      </c>
      <c r="AM10" s="19">
        <f t="shared" si="11"/>
        <v>193.34079988430739</v>
      </c>
      <c r="AN10" s="19">
        <f t="shared" si="1"/>
        <v>168.48245120494175</v>
      </c>
      <c r="AO10" s="19">
        <f t="shared" si="12"/>
        <v>0.14693911166756204</v>
      </c>
      <c r="AP10" s="19">
        <f t="shared" si="2"/>
        <v>193.34079988430739</v>
      </c>
      <c r="AQ10" s="35"/>
      <c r="AT10" s="10"/>
      <c r="AU10" s="10"/>
      <c r="AV10" s="10"/>
      <c r="AW10" s="10"/>
    </row>
    <row r="11" spans="2:49" x14ac:dyDescent="0.25">
      <c r="B11" s="3" t="s">
        <v>42</v>
      </c>
      <c r="C11" s="5">
        <v>27.9</v>
      </c>
      <c r="D11" s="2">
        <v>9</v>
      </c>
      <c r="E11" s="2">
        <v>9</v>
      </c>
      <c r="F11" s="2">
        <v>9</v>
      </c>
      <c r="G11" s="2">
        <v>20</v>
      </c>
      <c r="H11" s="2">
        <v>4.8</v>
      </c>
      <c r="I11" s="2">
        <v>0</v>
      </c>
      <c r="J11" s="2">
        <v>0</v>
      </c>
      <c r="K11" s="2">
        <v>4.7</v>
      </c>
      <c r="L11" s="2">
        <v>0</v>
      </c>
      <c r="M11" s="2">
        <v>0</v>
      </c>
      <c r="N11" s="2">
        <v>34.200000000000003</v>
      </c>
      <c r="O11" s="2">
        <v>300</v>
      </c>
      <c r="P11" s="4">
        <v>0.30208333333333331</v>
      </c>
      <c r="Q11" s="10"/>
      <c r="R11" s="41"/>
      <c r="S11" s="30">
        <f t="shared" si="3"/>
        <v>8.9510000000000041</v>
      </c>
      <c r="T11" s="30">
        <v>5</v>
      </c>
      <c r="U11" s="30">
        <f t="shared" si="4"/>
        <v>0.29999999999999716</v>
      </c>
      <c r="V11" s="30">
        <f t="shared" si="13"/>
        <v>0.26688741721854053</v>
      </c>
      <c r="W11" s="30">
        <f t="shared" si="5"/>
        <v>3.3112582781456623E-2</v>
      </c>
      <c r="X11" s="30">
        <f>V11+V10+V9+V8+V7+V6</f>
        <v>3.6474613686534165</v>
      </c>
      <c r="Y11" s="30">
        <f t="shared" si="14"/>
        <v>0.92253863134658376</v>
      </c>
      <c r="Z11" s="30">
        <f t="shared" si="6"/>
        <v>8.9841125827814601</v>
      </c>
      <c r="AA11" s="31">
        <f t="shared" si="7"/>
        <v>0.10268555996445093</v>
      </c>
      <c r="AC11" s="18"/>
      <c r="AD11" s="18"/>
      <c r="AE11" s="24"/>
      <c r="AF11" s="25"/>
      <c r="AG11" s="19">
        <v>3</v>
      </c>
      <c r="AH11" s="19">
        <f t="shared" si="8"/>
        <v>0</v>
      </c>
      <c r="AI11" s="19">
        <f t="shared" si="0"/>
        <v>76</v>
      </c>
      <c r="AJ11" s="21">
        <v>0.28699999999999998</v>
      </c>
      <c r="AK11" s="19">
        <f t="shared" si="9"/>
        <v>4.9141345399999994E-2</v>
      </c>
      <c r="AL11" s="19">
        <f t="shared" si="10"/>
        <v>8.0284613686534243</v>
      </c>
      <c r="AM11" s="19">
        <f t="shared" si="11"/>
        <v>182.14804513675372</v>
      </c>
      <c r="AN11" s="19">
        <f t="shared" si="1"/>
        <v>163.37487920412991</v>
      </c>
      <c r="AO11" s="19">
        <f t="shared" si="12"/>
        <v>0.11443654017245374</v>
      </c>
      <c r="AP11" s="19">
        <f t="shared" si="2"/>
        <v>182.14804513675372</v>
      </c>
      <c r="AQ11" s="35"/>
      <c r="AT11" s="10"/>
      <c r="AU11" s="10"/>
      <c r="AV11" s="10"/>
      <c r="AW11" s="10"/>
    </row>
    <row r="12" spans="2:49" x14ac:dyDescent="0.25">
      <c r="B12" s="3" t="s">
        <v>43</v>
      </c>
      <c r="C12" s="5">
        <v>27.1</v>
      </c>
      <c r="D12" s="2">
        <v>9</v>
      </c>
      <c r="E12" s="2">
        <v>9</v>
      </c>
      <c r="F12" s="2">
        <v>9</v>
      </c>
      <c r="G12" s="2">
        <v>20</v>
      </c>
      <c r="H12" s="2">
        <v>3.2</v>
      </c>
      <c r="I12" s="2">
        <v>0</v>
      </c>
      <c r="J12" s="2">
        <v>0</v>
      </c>
      <c r="K12" s="2">
        <v>4.7</v>
      </c>
      <c r="L12" s="2">
        <v>0</v>
      </c>
      <c r="M12" s="2">
        <v>0</v>
      </c>
      <c r="N12" s="2">
        <v>33.9</v>
      </c>
      <c r="O12" s="2">
        <v>300</v>
      </c>
      <c r="P12" s="4">
        <v>0.2986111111111111</v>
      </c>
      <c r="Q12" s="10"/>
      <c r="R12" s="41"/>
      <c r="S12" s="30">
        <f t="shared" si="3"/>
        <v>8.6509999999999998</v>
      </c>
      <c r="T12" s="30">
        <v>6</v>
      </c>
      <c r="U12" s="30">
        <f t="shared" si="4"/>
        <v>0.30000000000000426</v>
      </c>
      <c r="V12" s="30">
        <f t="shared" si="13"/>
        <v>0.26688741721854686</v>
      </c>
      <c r="W12" s="30">
        <f t="shared" si="5"/>
        <v>3.31125827814574E-2</v>
      </c>
      <c r="X12" s="30">
        <f>V12+V11+V10+V9+V8+V7+V6</f>
        <v>3.9143487858719634</v>
      </c>
      <c r="Y12" s="30">
        <f t="shared" si="14"/>
        <v>0.65565121412803684</v>
      </c>
      <c r="Z12" s="30">
        <f t="shared" si="6"/>
        <v>8.6841125827814576</v>
      </c>
      <c r="AA12" s="31">
        <f t="shared" si="7"/>
        <v>7.5500082233852905E-2</v>
      </c>
      <c r="AC12" s="18"/>
      <c r="AD12" s="18"/>
      <c r="AE12" s="24"/>
      <c r="AF12" s="25"/>
      <c r="AG12" s="19">
        <v>4</v>
      </c>
      <c r="AH12" s="19">
        <f t="shared" si="8"/>
        <v>1</v>
      </c>
      <c r="AI12" s="19">
        <f t="shared" si="0"/>
        <v>75</v>
      </c>
      <c r="AJ12" s="21">
        <v>0.28699999999999998</v>
      </c>
      <c r="AK12" s="19">
        <f t="shared" si="9"/>
        <v>4.8494748749999997E-2</v>
      </c>
      <c r="AL12" s="19">
        <f t="shared" si="10"/>
        <v>7.9953487858719665</v>
      </c>
      <c r="AM12" s="19">
        <f t="shared" si="11"/>
        <v>178.39044892463744</v>
      </c>
      <c r="AN12" s="19">
        <f t="shared" si="1"/>
        <v>164.87040333149406</v>
      </c>
      <c r="AO12" s="19">
        <f t="shared" si="12"/>
        <v>8.1665861492213471E-2</v>
      </c>
      <c r="AP12" s="19">
        <f t="shared" si="2"/>
        <v>178.39044892463744</v>
      </c>
      <c r="AQ12" s="35"/>
      <c r="AT12" s="10"/>
      <c r="AU12" s="10"/>
      <c r="AV12" s="10"/>
      <c r="AW12" s="10"/>
    </row>
    <row r="13" spans="2:49" x14ac:dyDescent="0.25">
      <c r="B13" s="3" t="s">
        <v>44</v>
      </c>
      <c r="C13" s="5">
        <v>36.299999999999997</v>
      </c>
      <c r="D13" s="2">
        <v>10</v>
      </c>
      <c r="E13" s="2">
        <v>10</v>
      </c>
      <c r="F13" s="2">
        <v>10</v>
      </c>
      <c r="G13" s="2">
        <v>20</v>
      </c>
      <c r="H13" s="2">
        <v>4.2</v>
      </c>
      <c r="I13" s="2">
        <v>0</v>
      </c>
      <c r="J13" s="2">
        <v>1</v>
      </c>
      <c r="K13" s="2">
        <v>4.7</v>
      </c>
      <c r="L13" s="2">
        <v>0</v>
      </c>
      <c r="M13" s="2">
        <v>0</v>
      </c>
      <c r="N13" s="2">
        <v>33.700000000000003</v>
      </c>
      <c r="O13" s="2">
        <v>200</v>
      </c>
      <c r="P13" s="4">
        <v>0.31597222222222221</v>
      </c>
      <c r="Q13" s="10"/>
      <c r="R13" s="41"/>
      <c r="S13" s="30">
        <f t="shared" si="3"/>
        <v>8.4510000000000041</v>
      </c>
      <c r="T13" s="30">
        <v>7</v>
      </c>
      <c r="U13" s="30">
        <f t="shared" si="4"/>
        <v>0.19999999999999574</v>
      </c>
      <c r="V13" s="30">
        <f t="shared" si="13"/>
        <v>0.17792494481235824</v>
      </c>
      <c r="W13" s="30">
        <f t="shared" si="5"/>
        <v>2.2075055187637499E-2</v>
      </c>
      <c r="X13" s="30">
        <f>V13+V12+V11+V10+V9+V8+V7+V6</f>
        <v>4.0922737306843215</v>
      </c>
      <c r="Y13" s="30">
        <f t="shared" si="14"/>
        <v>0.47772626931567874</v>
      </c>
      <c r="Z13" s="30">
        <f t="shared" si="6"/>
        <v>8.4730750551876408</v>
      </c>
      <c r="AA13" s="31">
        <f t="shared" si="7"/>
        <v>5.6381687428012431E-2</v>
      </c>
      <c r="AC13" s="18"/>
      <c r="AD13" s="18"/>
      <c r="AE13" s="24"/>
      <c r="AF13" s="25"/>
      <c r="AG13" s="19">
        <v>4</v>
      </c>
      <c r="AH13" s="19">
        <f t="shared" si="8"/>
        <v>0</v>
      </c>
      <c r="AI13" s="19">
        <f t="shared" si="0"/>
        <v>76</v>
      </c>
      <c r="AJ13" s="21">
        <v>0.28699999999999998</v>
      </c>
      <c r="AK13" s="19">
        <f t="shared" si="9"/>
        <v>4.9141345399999994E-2</v>
      </c>
      <c r="AL13" s="19">
        <f t="shared" si="10"/>
        <v>7.9732737306843289</v>
      </c>
      <c r="AM13" s="19">
        <f t="shared" si="11"/>
        <v>171.97331353487942</v>
      </c>
      <c r="AN13" s="19">
        <f t="shared" si="1"/>
        <v>162.25184039597602</v>
      </c>
      <c r="AO13" s="19">
        <f t="shared" si="12"/>
        <v>5.9750522723891218E-2</v>
      </c>
      <c r="AP13" s="19">
        <f t="shared" si="2"/>
        <v>171.97331353487942</v>
      </c>
      <c r="AQ13" s="35"/>
      <c r="AT13" s="10"/>
      <c r="AU13" s="10"/>
      <c r="AV13" s="10"/>
      <c r="AW13" s="10"/>
    </row>
    <row r="14" spans="2:49" x14ac:dyDescent="0.25">
      <c r="B14" s="3" t="s">
        <v>45</v>
      </c>
      <c r="C14" s="5">
        <v>30.8</v>
      </c>
      <c r="D14" s="2">
        <v>11</v>
      </c>
      <c r="E14" s="2">
        <v>11</v>
      </c>
      <c r="F14" s="2">
        <v>11</v>
      </c>
      <c r="G14" s="2">
        <v>20</v>
      </c>
      <c r="H14" s="2">
        <v>2.4</v>
      </c>
      <c r="I14" s="2">
        <v>0</v>
      </c>
      <c r="J14" s="2">
        <v>0</v>
      </c>
      <c r="K14" s="2">
        <v>4.5999999999999996</v>
      </c>
      <c r="L14" s="2">
        <v>0</v>
      </c>
      <c r="M14" s="2">
        <v>0</v>
      </c>
      <c r="N14" s="2">
        <v>33.6</v>
      </c>
      <c r="O14" s="2">
        <v>100</v>
      </c>
      <c r="P14" s="4">
        <v>0.31388888888888888</v>
      </c>
      <c r="Q14" s="10"/>
      <c r="R14" s="41"/>
      <c r="S14" s="30">
        <f t="shared" si="3"/>
        <v>8.3510000000000026</v>
      </c>
      <c r="T14" s="30">
        <v>8</v>
      </c>
      <c r="U14" s="30">
        <f t="shared" si="4"/>
        <v>0.10000000000000142</v>
      </c>
      <c r="V14" s="30">
        <f t="shared" si="13"/>
        <v>8.8962472406182283E-2</v>
      </c>
      <c r="W14" s="30">
        <f t="shared" si="5"/>
        <v>1.1037527593819138E-2</v>
      </c>
      <c r="X14" s="30">
        <f>V14+V13+V12+V11+V10+V9+V8+V7+V6</f>
        <v>4.1812362030905037</v>
      </c>
      <c r="Y14" s="30">
        <f t="shared" si="14"/>
        <v>0.38876379690949658</v>
      </c>
      <c r="Z14" s="30">
        <f t="shared" si="6"/>
        <v>8.3620375275938219</v>
      </c>
      <c r="AA14" s="31">
        <f t="shared" si="7"/>
        <v>4.6491515450225854E-2</v>
      </c>
      <c r="AC14" s="18"/>
      <c r="AD14" s="18"/>
      <c r="AE14" s="24"/>
      <c r="AF14" s="25"/>
      <c r="AG14" s="19">
        <v>5</v>
      </c>
      <c r="AH14" s="19">
        <f t="shared" si="8"/>
        <v>1</v>
      </c>
      <c r="AI14" s="19">
        <f t="shared" si="0"/>
        <v>75</v>
      </c>
      <c r="AJ14" s="21">
        <v>0.28699999999999998</v>
      </c>
      <c r="AK14" s="19">
        <f t="shared" si="9"/>
        <v>4.8494748749999997E-2</v>
      </c>
      <c r="AL14" s="19">
        <f t="shared" si="10"/>
        <v>7.9622362030905096</v>
      </c>
      <c r="AM14" s="19">
        <f t="shared" si="11"/>
        <v>172.20421211069794</v>
      </c>
      <c r="AN14" s="19">
        <f t="shared" si="1"/>
        <v>164.18759573613647</v>
      </c>
      <c r="AO14" s="19">
        <f t="shared" si="12"/>
        <v>4.8758365765542329E-2</v>
      </c>
      <c r="AP14" s="19">
        <f t="shared" si="2"/>
        <v>172.20421211069794</v>
      </c>
      <c r="AQ14" s="35"/>
      <c r="AT14" s="10"/>
      <c r="AU14" s="10"/>
      <c r="AV14" s="10"/>
      <c r="AW14" s="10"/>
    </row>
    <row r="15" spans="2:49" x14ac:dyDescent="0.25">
      <c r="B15" s="3" t="s">
        <v>46</v>
      </c>
      <c r="C15" s="5">
        <v>32.200000000000003</v>
      </c>
      <c r="D15" s="2">
        <v>11</v>
      </c>
      <c r="E15" s="2">
        <v>11</v>
      </c>
      <c r="F15" s="2">
        <v>11</v>
      </c>
      <c r="G15" s="2">
        <v>20</v>
      </c>
      <c r="H15" s="2">
        <v>2.7</v>
      </c>
      <c r="I15" s="2">
        <v>0</v>
      </c>
      <c r="J15" s="2">
        <v>0</v>
      </c>
      <c r="K15" s="2">
        <v>4.5999999999999996</v>
      </c>
      <c r="L15" s="2">
        <v>0</v>
      </c>
      <c r="M15" s="2">
        <v>0</v>
      </c>
      <c r="N15" s="2">
        <v>33.6</v>
      </c>
      <c r="O15" s="2">
        <v>0</v>
      </c>
      <c r="P15" s="4">
        <v>0.30694444444444441</v>
      </c>
      <c r="Q15" s="10"/>
      <c r="R15" s="41"/>
      <c r="S15" s="30">
        <f t="shared" si="3"/>
        <v>8.3510000000000026</v>
      </c>
      <c r="T15" s="30">
        <v>9</v>
      </c>
      <c r="U15" s="30">
        <f t="shared" si="4"/>
        <v>0</v>
      </c>
      <c r="V15" s="30">
        <f t="shared" si="13"/>
        <v>0</v>
      </c>
      <c r="W15" s="30">
        <f t="shared" si="5"/>
        <v>0</v>
      </c>
      <c r="X15" s="30">
        <f>V15+V14+V13+V12+V11+V10+V9+V8+V7+V6</f>
        <v>4.1812362030905037</v>
      </c>
      <c r="Y15" s="30">
        <f t="shared" si="14"/>
        <v>0.38876379690949658</v>
      </c>
      <c r="Z15" s="30">
        <f t="shared" si="6"/>
        <v>8.3510000000000026</v>
      </c>
      <c r="AA15" s="31">
        <f t="shared" si="7"/>
        <v>4.6552963346844264E-2</v>
      </c>
      <c r="AC15" s="18"/>
      <c r="AD15" s="18"/>
      <c r="AE15" s="24"/>
      <c r="AF15" s="25"/>
      <c r="AG15" s="19">
        <v>6</v>
      </c>
      <c r="AH15" s="19">
        <f t="shared" si="8"/>
        <v>1</v>
      </c>
      <c r="AI15" s="19">
        <f t="shared" si="0"/>
        <v>75</v>
      </c>
      <c r="AJ15" s="21">
        <v>0.28699999999999998</v>
      </c>
      <c r="AK15" s="19">
        <f t="shared" si="9"/>
        <v>4.8494748749999997E-2</v>
      </c>
      <c r="AL15" s="19">
        <f t="shared" si="10"/>
        <v>7.9622362030905096</v>
      </c>
      <c r="AM15" s="19">
        <f t="shared" si="11"/>
        <v>172.20421211069794</v>
      </c>
      <c r="AN15" s="19">
        <f t="shared" si="1"/>
        <v>164.18759573613647</v>
      </c>
      <c r="AO15" s="19">
        <f t="shared" si="12"/>
        <v>4.8825956300894417E-2</v>
      </c>
      <c r="AP15" s="19">
        <f t="shared" si="2"/>
        <v>172.20421211069794</v>
      </c>
      <c r="AQ15" s="35"/>
      <c r="AT15" s="10"/>
      <c r="AU15" s="10"/>
      <c r="AV15" s="10"/>
      <c r="AW15" s="10"/>
    </row>
    <row r="16" spans="2:49" x14ac:dyDescent="0.25">
      <c r="B16" s="3" t="s">
        <v>47</v>
      </c>
      <c r="C16" s="5">
        <v>34.5</v>
      </c>
      <c r="D16" s="2">
        <v>11</v>
      </c>
      <c r="E16" s="2">
        <v>11</v>
      </c>
      <c r="F16" s="2">
        <v>11</v>
      </c>
      <c r="G16" s="2">
        <v>20</v>
      </c>
      <c r="H16" s="2">
        <v>3.5</v>
      </c>
      <c r="I16" s="2">
        <v>0</v>
      </c>
      <c r="J16" s="2">
        <v>0</v>
      </c>
      <c r="K16" s="2">
        <v>4.5999999999999996</v>
      </c>
      <c r="L16" s="2">
        <v>0</v>
      </c>
      <c r="M16" s="2">
        <v>0</v>
      </c>
      <c r="N16" s="2">
        <v>33.5</v>
      </c>
      <c r="O16" s="2">
        <v>100</v>
      </c>
      <c r="P16" s="4">
        <v>0.34027777777777773</v>
      </c>
      <c r="Q16" s="10"/>
      <c r="R16" s="41"/>
      <c r="S16" s="30">
        <f t="shared" si="3"/>
        <v>8.2510000000000012</v>
      </c>
      <c r="T16" s="30">
        <v>10</v>
      </c>
      <c r="U16" s="30">
        <f t="shared" si="4"/>
        <v>0.10000000000000142</v>
      </c>
      <c r="V16" s="30">
        <f t="shared" si="13"/>
        <v>8.8962472406182283E-2</v>
      </c>
      <c r="W16" s="30">
        <f t="shared" si="5"/>
        <v>1.1037527593819138E-2</v>
      </c>
      <c r="X16" s="30">
        <f>V16+V15+V14+V13+V12+V11+V10+V9+V8+V7+V6</f>
        <v>4.2701986754966867</v>
      </c>
      <c r="Y16" s="30">
        <f t="shared" si="14"/>
        <v>0.29980132450331354</v>
      </c>
      <c r="Z16" s="30">
        <f t="shared" si="6"/>
        <v>8.2620375275938205</v>
      </c>
      <c r="AA16" s="31">
        <f t="shared" si="7"/>
        <v>3.6286608902710425E-2</v>
      </c>
      <c r="AC16" s="18"/>
      <c r="AD16" s="18"/>
      <c r="AE16" s="24"/>
      <c r="AF16" s="25"/>
      <c r="AG16" s="19">
        <v>6</v>
      </c>
      <c r="AH16" s="19">
        <f t="shared" si="8"/>
        <v>0</v>
      </c>
      <c r="AI16" s="19">
        <f t="shared" si="0"/>
        <v>76</v>
      </c>
      <c r="AJ16" s="21">
        <v>0.28699999999999998</v>
      </c>
      <c r="AK16" s="19">
        <f t="shared" si="9"/>
        <v>4.9141345399999994E-2</v>
      </c>
      <c r="AL16" s="19">
        <f t="shared" si="10"/>
        <v>7.9511986754966903</v>
      </c>
      <c r="AM16" s="19">
        <f t="shared" si="11"/>
        <v>167.90342089412965</v>
      </c>
      <c r="AN16" s="19">
        <f t="shared" si="1"/>
        <v>161.80262487271443</v>
      </c>
      <c r="AO16" s="19">
        <f t="shared" si="12"/>
        <v>3.7652905145786432E-2</v>
      </c>
      <c r="AP16" s="19">
        <f t="shared" si="2"/>
        <v>167.90342089412965</v>
      </c>
      <c r="AQ16" s="35"/>
      <c r="AT16" s="10"/>
      <c r="AU16" s="10"/>
      <c r="AV16" s="10"/>
      <c r="AW16" s="10"/>
    </row>
    <row r="17" spans="2:49" x14ac:dyDescent="0.25">
      <c r="B17" s="6" t="s">
        <v>48</v>
      </c>
      <c r="C17" s="5">
        <v>28.3</v>
      </c>
      <c r="D17" s="2">
        <v>11</v>
      </c>
      <c r="E17" s="2">
        <v>11</v>
      </c>
      <c r="F17" s="2">
        <v>11</v>
      </c>
      <c r="G17" s="2">
        <v>20</v>
      </c>
      <c r="H17" s="2">
        <v>3.8</v>
      </c>
      <c r="I17" s="2">
        <v>0</v>
      </c>
      <c r="J17" s="2">
        <v>0</v>
      </c>
      <c r="K17" s="2">
        <v>4.5999999999999996</v>
      </c>
      <c r="L17" s="2">
        <v>0</v>
      </c>
      <c r="M17" s="2">
        <v>0</v>
      </c>
      <c r="N17" s="2">
        <v>33.5</v>
      </c>
      <c r="O17" s="2">
        <v>0</v>
      </c>
      <c r="P17" s="4">
        <v>0.30624999999999997</v>
      </c>
      <c r="Q17" s="10"/>
      <c r="R17" s="41"/>
      <c r="S17" s="30">
        <f t="shared" si="3"/>
        <v>8.2510000000000012</v>
      </c>
      <c r="T17" s="30">
        <v>11</v>
      </c>
      <c r="U17" s="30">
        <f t="shared" si="4"/>
        <v>0</v>
      </c>
      <c r="V17" s="30">
        <f t="shared" si="13"/>
        <v>0</v>
      </c>
      <c r="W17" s="30">
        <f t="shared" si="5"/>
        <v>0</v>
      </c>
      <c r="X17" s="30">
        <f>V17+V16+V15+V14+V13+V12+V11+V10+V9+V8+V7+V6</f>
        <v>4.2701986754966867</v>
      </c>
      <c r="Y17" s="30">
        <f t="shared" si="14"/>
        <v>0.29980132450331354</v>
      </c>
      <c r="Z17" s="30">
        <f t="shared" si="6"/>
        <v>8.2510000000000012</v>
      </c>
      <c r="AA17" s="31">
        <f t="shared" si="7"/>
        <v>3.6335150224616836E-2</v>
      </c>
      <c r="AC17" s="18"/>
      <c r="AD17" s="18"/>
      <c r="AE17" s="24"/>
      <c r="AF17" s="25"/>
      <c r="AG17" s="19">
        <v>6</v>
      </c>
      <c r="AH17" s="19">
        <f t="shared" si="8"/>
        <v>0</v>
      </c>
      <c r="AI17" s="19">
        <f t="shared" si="0"/>
        <v>76</v>
      </c>
      <c r="AJ17" s="21">
        <v>0.28699999999999998</v>
      </c>
      <c r="AK17" s="19">
        <f t="shared" si="9"/>
        <v>4.9141345399999994E-2</v>
      </c>
      <c r="AL17" s="19">
        <f t="shared" si="10"/>
        <v>7.9511986754966903</v>
      </c>
      <c r="AM17" s="19">
        <f t="shared" si="11"/>
        <v>167.90342089412965</v>
      </c>
      <c r="AN17" s="19">
        <f t="shared" si="1"/>
        <v>161.80262487271443</v>
      </c>
      <c r="AO17" s="19">
        <f t="shared" si="12"/>
        <v>3.7705173363006911E-2</v>
      </c>
      <c r="AP17" s="19">
        <f t="shared" si="2"/>
        <v>167.90342089412965</v>
      </c>
      <c r="AQ17" s="35"/>
      <c r="AT17" s="10"/>
      <c r="AU17" s="10"/>
      <c r="AV17" s="10"/>
      <c r="AW17" s="10"/>
    </row>
    <row r="18" spans="2:49" x14ac:dyDescent="0.25">
      <c r="B18" s="3" t="s">
        <v>49</v>
      </c>
      <c r="C18" s="5">
        <v>27.1</v>
      </c>
      <c r="D18" s="2">
        <v>11</v>
      </c>
      <c r="E18" s="2">
        <v>11</v>
      </c>
      <c r="F18" s="2">
        <v>11</v>
      </c>
      <c r="G18" s="2">
        <v>20</v>
      </c>
      <c r="H18" s="2">
        <v>4.0999999999999996</v>
      </c>
      <c r="I18" s="2">
        <v>0</v>
      </c>
      <c r="J18" s="2">
        <v>0</v>
      </c>
      <c r="K18" s="2">
        <v>4.5999999999999996</v>
      </c>
      <c r="L18" s="2">
        <v>0</v>
      </c>
      <c r="M18" s="2">
        <v>0</v>
      </c>
      <c r="N18" s="2">
        <v>33.5</v>
      </c>
      <c r="O18" s="2">
        <v>0</v>
      </c>
      <c r="P18" s="4">
        <v>0.33333333333333331</v>
      </c>
      <c r="Q18" s="10"/>
      <c r="R18" s="41"/>
      <c r="S18" s="30">
        <f t="shared" si="3"/>
        <v>8.2510000000000012</v>
      </c>
      <c r="T18" s="30">
        <v>12</v>
      </c>
      <c r="U18" s="30">
        <f t="shared" si="4"/>
        <v>0</v>
      </c>
      <c r="V18" s="30">
        <f t="shared" si="13"/>
        <v>0</v>
      </c>
      <c r="W18" s="30">
        <f t="shared" si="5"/>
        <v>0</v>
      </c>
      <c r="X18" s="30">
        <f>V18+V17+V16+V15+V14+V13+V12+V11+V10+V9+V8+V7+V6</f>
        <v>4.2701986754966867</v>
      </c>
      <c r="Y18" s="30">
        <f t="shared" si="14"/>
        <v>0.29980132450331354</v>
      </c>
      <c r="Z18" s="30">
        <f t="shared" si="6"/>
        <v>8.2510000000000012</v>
      </c>
      <c r="AA18" s="31">
        <f t="shared" si="7"/>
        <v>3.6335150224616836E-2</v>
      </c>
      <c r="AC18" s="18"/>
      <c r="AD18" s="18"/>
      <c r="AE18" s="24"/>
      <c r="AF18" s="25"/>
      <c r="AG18" s="19">
        <v>6</v>
      </c>
      <c r="AH18" s="19">
        <f t="shared" si="8"/>
        <v>0</v>
      </c>
      <c r="AI18" s="19">
        <f t="shared" si="0"/>
        <v>76</v>
      </c>
      <c r="AJ18" s="21">
        <v>0.28699999999999998</v>
      </c>
      <c r="AK18" s="19">
        <f t="shared" si="9"/>
        <v>4.9141345399999994E-2</v>
      </c>
      <c r="AL18" s="19">
        <f t="shared" si="10"/>
        <v>7.9511986754966903</v>
      </c>
      <c r="AM18" s="19">
        <f t="shared" si="11"/>
        <v>167.90342089412965</v>
      </c>
      <c r="AN18" s="19">
        <f t="shared" si="1"/>
        <v>161.80262487271443</v>
      </c>
      <c r="AO18" s="19">
        <f t="shared" si="12"/>
        <v>3.7705173363006911E-2</v>
      </c>
      <c r="AP18" s="19">
        <f t="shared" si="2"/>
        <v>167.90342089412965</v>
      </c>
      <c r="AQ18" s="35"/>
      <c r="AT18" s="10"/>
      <c r="AU18" s="10"/>
      <c r="AV18" s="10"/>
      <c r="AW18" s="10"/>
    </row>
    <row r="19" spans="2:49" x14ac:dyDescent="0.25">
      <c r="B19" s="3" t="s">
        <v>50</v>
      </c>
      <c r="C19" s="5">
        <v>27.4</v>
      </c>
      <c r="D19" s="2">
        <v>11</v>
      </c>
      <c r="E19" s="2">
        <v>11</v>
      </c>
      <c r="F19" s="2">
        <v>11</v>
      </c>
      <c r="G19" s="2">
        <v>20</v>
      </c>
      <c r="H19" s="2">
        <v>4.2</v>
      </c>
      <c r="I19" s="2">
        <v>0</v>
      </c>
      <c r="J19" s="2">
        <v>0</v>
      </c>
      <c r="K19" s="2">
        <v>4.5</v>
      </c>
      <c r="L19" s="2">
        <v>0</v>
      </c>
      <c r="M19" s="2">
        <v>0</v>
      </c>
      <c r="N19" s="2">
        <v>33.5</v>
      </c>
      <c r="O19" s="2">
        <v>0</v>
      </c>
      <c r="P19" s="4">
        <v>0.30694444444444441</v>
      </c>
      <c r="Q19" s="10"/>
      <c r="R19" s="41"/>
      <c r="S19" s="30">
        <f t="shared" si="3"/>
        <v>8.2510000000000012</v>
      </c>
      <c r="T19" s="30">
        <v>13</v>
      </c>
      <c r="U19" s="30">
        <f t="shared" si="4"/>
        <v>0</v>
      </c>
      <c r="V19" s="30">
        <f t="shared" si="13"/>
        <v>0</v>
      </c>
      <c r="W19" s="30">
        <f t="shared" si="5"/>
        <v>0</v>
      </c>
      <c r="X19" s="30">
        <f>V19+V18+V17+V16+V15+V14+V13+V12+V11+V10+V9+V8+V7+V6</f>
        <v>4.2701986754966867</v>
      </c>
      <c r="Y19" s="30">
        <f>4.57-X19</f>
        <v>0.29980132450331354</v>
      </c>
      <c r="Z19" s="30">
        <f t="shared" si="6"/>
        <v>8.2510000000000012</v>
      </c>
      <c r="AA19" s="31">
        <f t="shared" si="7"/>
        <v>3.6335150224616836E-2</v>
      </c>
      <c r="AC19" s="18"/>
      <c r="AD19" s="18"/>
      <c r="AE19" s="26" t="s">
        <v>310</v>
      </c>
      <c r="AF19" s="27">
        <v>1860</v>
      </c>
      <c r="AG19" s="19">
        <v>6</v>
      </c>
      <c r="AH19" s="19">
        <f t="shared" si="8"/>
        <v>0</v>
      </c>
      <c r="AI19" s="19">
        <f t="shared" si="0"/>
        <v>76</v>
      </c>
      <c r="AJ19" s="21">
        <v>0.28699999999999998</v>
      </c>
      <c r="AK19" s="19">
        <f t="shared" si="9"/>
        <v>4.9141345399999994E-2</v>
      </c>
      <c r="AL19" s="19">
        <f t="shared" si="10"/>
        <v>7.9511986754966903</v>
      </c>
      <c r="AM19" s="19">
        <f t="shared" si="11"/>
        <v>167.90342089412965</v>
      </c>
      <c r="AN19" s="19">
        <f t="shared" si="1"/>
        <v>161.80262487271443</v>
      </c>
      <c r="AO19" s="19">
        <f t="shared" si="12"/>
        <v>3.7705173363006911E-2</v>
      </c>
      <c r="AP19" s="19">
        <f t="shared" si="2"/>
        <v>167.90342089412965</v>
      </c>
      <c r="AQ19" s="35"/>
      <c r="AT19" s="10"/>
      <c r="AU19" s="10"/>
      <c r="AV19" s="10"/>
      <c r="AW19" s="10"/>
    </row>
    <row r="20" spans="2:49" x14ac:dyDescent="0.25">
      <c r="B20" s="3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41"/>
      <c r="Q20" s="39"/>
      <c r="R20" s="41"/>
      <c r="S20" s="30"/>
      <c r="T20" s="30"/>
      <c r="U20" s="30"/>
      <c r="V20" s="30"/>
      <c r="W20" s="30"/>
      <c r="X20" s="30"/>
      <c r="Y20" s="30"/>
      <c r="Z20" s="30"/>
      <c r="AA20" s="31"/>
      <c r="AG20" s="19"/>
      <c r="AH20" s="19"/>
      <c r="AI20" s="19"/>
      <c r="AJ20" s="21"/>
      <c r="AK20" s="19"/>
      <c r="AL20" s="19"/>
      <c r="AM20" s="19"/>
      <c r="AN20" s="19"/>
      <c r="AO20" s="19"/>
      <c r="AP20" s="19"/>
      <c r="AQ20" s="35"/>
      <c r="AT20" s="10"/>
      <c r="AU20" s="10"/>
      <c r="AV20" s="10"/>
    </row>
    <row r="21" spans="2:49" x14ac:dyDescent="0.25">
      <c r="B21" s="39"/>
      <c r="C21" s="3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40"/>
      <c r="P21" s="10"/>
      <c r="Q21" s="10"/>
      <c r="R21" s="42"/>
      <c r="W21" s="30"/>
      <c r="AA21" s="31"/>
      <c r="AQ21" s="35"/>
    </row>
    <row r="22" spans="2:49" x14ac:dyDescent="0.25">
      <c r="B22" s="63" t="s">
        <v>303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10"/>
      <c r="R22" s="42"/>
      <c r="S22" s="63" t="s">
        <v>305</v>
      </c>
      <c r="T22" s="63"/>
      <c r="U22" s="63"/>
      <c r="V22" s="63"/>
      <c r="W22" s="63"/>
      <c r="X22" s="63"/>
      <c r="Y22" s="63"/>
      <c r="Z22" s="63"/>
      <c r="AA22" s="63"/>
      <c r="AG22" s="63" t="s">
        <v>305</v>
      </c>
      <c r="AH22" s="63"/>
      <c r="AI22" s="63"/>
      <c r="AJ22" s="63"/>
      <c r="AK22" s="63"/>
      <c r="AL22" s="63"/>
      <c r="AM22" s="63"/>
      <c r="AN22" s="63"/>
      <c r="AO22" s="63"/>
      <c r="AP22" s="63"/>
      <c r="AQ22" s="35"/>
    </row>
    <row r="23" spans="2:49" x14ac:dyDescent="0.25">
      <c r="B23" s="3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0"/>
      <c r="P23" s="10"/>
      <c r="Q23" s="10"/>
      <c r="R23" s="42"/>
      <c r="AQ23" s="35"/>
    </row>
    <row r="24" spans="2:49" x14ac:dyDescent="0.25">
      <c r="B24" s="3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0"/>
      <c r="P24" s="10"/>
      <c r="Q24" s="10"/>
      <c r="R24" s="42"/>
      <c r="S24" t="s">
        <v>313</v>
      </c>
      <c r="X24" s="8">
        <v>4.57</v>
      </c>
      <c r="AQ24" s="35"/>
    </row>
    <row r="25" spans="2:49" x14ac:dyDescent="0.25">
      <c r="B25" s="3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0"/>
      <c r="P25" s="10"/>
      <c r="Q25" s="10"/>
      <c r="R25" s="42"/>
      <c r="S25" t="s">
        <v>312</v>
      </c>
      <c r="X25" s="8">
        <v>0.247</v>
      </c>
      <c r="AQ25" s="35"/>
    </row>
    <row r="26" spans="2:49" x14ac:dyDescent="0.25">
      <c r="B26" s="3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40"/>
      <c r="P26" s="10"/>
      <c r="Q26" s="10"/>
      <c r="R26" s="42"/>
      <c r="S26" t="s">
        <v>311</v>
      </c>
      <c r="X26" s="8">
        <f>S6-S19</f>
        <v>4.7999999999999972</v>
      </c>
      <c r="Z26" s="8"/>
      <c r="AQ26" s="35"/>
    </row>
    <row r="27" spans="2:49" x14ac:dyDescent="0.25">
      <c r="S27" t="s">
        <v>314</v>
      </c>
      <c r="X27" s="8">
        <f>X24-X25</f>
        <v>4.3230000000000004</v>
      </c>
      <c r="AQ27" s="35"/>
    </row>
    <row r="28" spans="2:49" x14ac:dyDescent="0.25">
      <c r="S28" t="s">
        <v>315</v>
      </c>
      <c r="X28" s="8">
        <f>X26-X27</f>
        <v>0.47699999999999676</v>
      </c>
      <c r="Y28" s="18"/>
      <c r="AQ28" s="35"/>
    </row>
    <row r="29" spans="2:49" x14ac:dyDescent="0.25">
      <c r="AQ29" s="35"/>
    </row>
    <row r="30" spans="2:49" x14ac:dyDescent="0.25">
      <c r="S30" t="s">
        <v>316</v>
      </c>
      <c r="X30" s="29">
        <f>X27/X28</f>
        <v>9.062893081761068</v>
      </c>
      <c r="AQ30" s="35"/>
    </row>
    <row r="31" spans="2:49" x14ac:dyDescent="0.25">
      <c r="AQ31" s="35"/>
    </row>
    <row r="32" spans="2:49" x14ac:dyDescent="0.25">
      <c r="AQ32" s="38"/>
    </row>
    <row r="33" spans="1:43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10" spans="46:46" x14ac:dyDescent="0.25">
      <c r="AT410" s="7"/>
    </row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54" spans="46:46" x14ac:dyDescent="0.25">
      <c r="AT554" s="7"/>
    </row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84" spans="46:46" x14ac:dyDescent="0.25">
      <c r="AT684" s="7"/>
    </row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</sheetData>
  <mergeCells count="3">
    <mergeCell ref="B22:P22"/>
    <mergeCell ref="S22:AA22"/>
    <mergeCell ref="AG22:AP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52173-FEBC-4CCA-846C-DFBF73D005A8}">
  <dimension ref="A1:AW1759"/>
  <sheetViews>
    <sheetView zoomScaleNormal="100" workbookViewId="0">
      <selection activeCell="M44" sqref="M44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2.2851562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</cols>
  <sheetData>
    <row r="1" spans="2:49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9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9" x14ac:dyDescent="0.25">
      <c r="L3" s="9"/>
      <c r="M3" s="10"/>
      <c r="AQ3" s="35"/>
    </row>
    <row r="4" spans="2:49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344</v>
      </c>
      <c r="W4" s="17" t="s">
        <v>345</v>
      </c>
      <c r="X4" s="17" t="s">
        <v>346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9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9" x14ac:dyDescent="0.25">
      <c r="B6" s="3" t="s">
        <v>51</v>
      </c>
      <c r="C6" s="5">
        <v>33</v>
      </c>
      <c r="D6" s="2">
        <v>13</v>
      </c>
      <c r="E6" s="2">
        <v>13</v>
      </c>
      <c r="F6" s="2">
        <v>13</v>
      </c>
      <c r="G6" s="2">
        <v>20</v>
      </c>
      <c r="H6" s="2">
        <v>0</v>
      </c>
      <c r="I6" s="2">
        <v>0</v>
      </c>
      <c r="J6" s="2">
        <v>0</v>
      </c>
      <c r="K6" s="2">
        <v>21</v>
      </c>
      <c r="L6" s="2">
        <v>0</v>
      </c>
      <c r="M6" s="2">
        <v>0</v>
      </c>
      <c r="N6" s="2">
        <v>44.3</v>
      </c>
      <c r="O6" s="2">
        <v>0</v>
      </c>
      <c r="P6" s="45">
        <v>0.52083333333333337</v>
      </c>
      <c r="Q6" s="10"/>
      <c r="R6" s="41"/>
      <c r="S6" s="30">
        <f>N6-25.449</f>
        <v>18.850999999999996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10.37</v>
      </c>
      <c r="Z6" s="30">
        <f>S6-V6</f>
        <v>18.850999999999996</v>
      </c>
      <c r="AA6" s="31">
        <f>Y6/Z6</f>
        <v>0.55010344278818113</v>
      </c>
      <c r="AC6" s="18"/>
      <c r="AD6" s="18">
        <v>1000</v>
      </c>
      <c r="AE6" s="22" t="s">
        <v>309</v>
      </c>
      <c r="AF6" s="23">
        <v>1620</v>
      </c>
      <c r="AG6" s="19">
        <v>8</v>
      </c>
      <c r="AH6" s="19">
        <v>0</v>
      </c>
      <c r="AI6" s="19">
        <f t="shared" ref="AI6:AI19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8.4809999999999999</v>
      </c>
      <c r="AM6" s="19">
        <f>S6/AK6</f>
        <v>383.60773085386461</v>
      </c>
      <c r="AN6" s="19">
        <f t="shared" ref="AN6:AN19" si="1">AL6/AK6</f>
        <v>172.58379743099181</v>
      </c>
      <c r="AO6" s="19">
        <f>(AA6/(1-AA6))</f>
        <v>1.2227331682584608</v>
      </c>
      <c r="AP6" s="19">
        <f t="shared" ref="AP6:AP19" si="2">AM6/(1+AQ6)</f>
        <v>383.60773085386461</v>
      </c>
      <c r="AQ6" s="35"/>
      <c r="AT6" s="10"/>
      <c r="AU6" s="10"/>
      <c r="AV6" s="10"/>
      <c r="AW6" s="10"/>
    </row>
    <row r="7" spans="2:49" x14ac:dyDescent="0.25">
      <c r="B7" s="3" t="s">
        <v>52</v>
      </c>
      <c r="C7" s="5">
        <v>41.4</v>
      </c>
      <c r="D7" s="2">
        <v>16</v>
      </c>
      <c r="E7" s="2">
        <v>16</v>
      </c>
      <c r="F7" s="2">
        <v>16</v>
      </c>
      <c r="G7" s="2">
        <v>20</v>
      </c>
      <c r="H7" s="2">
        <v>9.6999999999999993</v>
      </c>
      <c r="I7" s="2">
        <v>0</v>
      </c>
      <c r="J7" s="2">
        <v>0</v>
      </c>
      <c r="K7" s="2">
        <v>3.6</v>
      </c>
      <c r="L7" s="2">
        <v>0</v>
      </c>
      <c r="M7" s="2">
        <v>0</v>
      </c>
      <c r="N7" s="2">
        <v>41.4</v>
      </c>
      <c r="O7" s="2">
        <v>2900</v>
      </c>
      <c r="P7" s="45">
        <v>0.31458333333333333</v>
      </c>
      <c r="Q7" s="10"/>
      <c r="R7" s="41"/>
      <c r="S7" s="30">
        <f t="shared" ref="S7:S27" si="3">N7-25.449</f>
        <v>15.950999999999997</v>
      </c>
      <c r="T7" s="30">
        <v>1</v>
      </c>
      <c r="U7" s="30">
        <f t="shared" ref="U7:U27" si="4">S6-S7</f>
        <v>2.8999999999999986</v>
      </c>
      <c r="V7" s="30">
        <f>U7-(U7/6.13)</f>
        <v>2.4269168026101129</v>
      </c>
      <c r="W7" s="30">
        <f t="shared" ref="W7:W27" si="5">U7-V7</f>
        <v>0.47308319738988569</v>
      </c>
      <c r="X7" s="30">
        <f>V7+V6</f>
        <v>2.4269168026101129</v>
      </c>
      <c r="Y7" s="30">
        <f>10.37-X7</f>
        <v>7.9430831973898863</v>
      </c>
      <c r="Z7" s="30">
        <f t="shared" ref="Z7:Z27" si="6">S6-V7</f>
        <v>16.424083197389884</v>
      </c>
      <c r="AA7" s="31">
        <f t="shared" ref="AA7:AA27" si="7">Y7/Z7</f>
        <v>0.483624145221829</v>
      </c>
      <c r="AC7" s="18"/>
      <c r="AD7" s="18"/>
      <c r="AE7" s="24"/>
      <c r="AF7" s="25"/>
      <c r="AG7" s="19">
        <v>11</v>
      </c>
      <c r="AH7" s="19">
        <f t="shared" ref="AH7:AH19" si="8">AG7-AG6</f>
        <v>3</v>
      </c>
      <c r="AI7" s="19">
        <f t="shared" si="0"/>
        <v>73</v>
      </c>
      <c r="AJ7" s="21">
        <v>0.28699999999999998</v>
      </c>
      <c r="AK7" s="19">
        <f t="shared" ref="AK7:AK19" si="9">((($AJ$6*$AJ$6)*3.14)/4)*(AI7/100)</f>
        <v>4.7201555449999995E-2</v>
      </c>
      <c r="AL7" s="19">
        <f t="shared" ref="AL7:AL19" si="10">AL6-W7</f>
        <v>8.0079168026101151</v>
      </c>
      <c r="AM7" s="19">
        <f t="shared" ref="AM7:AM19" si="11">S7/AK7</f>
        <v>337.9337788327058</v>
      </c>
      <c r="AN7" s="19">
        <f t="shared" si="1"/>
        <v>169.65366344956152</v>
      </c>
      <c r="AO7" s="19">
        <f t="shared" ref="AO7:AO19" si="12">(AA7/(1-AA7))</f>
        <v>0.9365738942801427</v>
      </c>
      <c r="AP7" s="19">
        <f t="shared" si="2"/>
        <v>337.9337788327058</v>
      </c>
      <c r="AQ7" s="35"/>
      <c r="AT7" s="10"/>
      <c r="AU7" s="10"/>
      <c r="AV7" s="10"/>
      <c r="AW7" s="10"/>
    </row>
    <row r="8" spans="2:49" x14ac:dyDescent="0.25">
      <c r="B8" s="3" t="s">
        <v>53</v>
      </c>
      <c r="C8" s="5">
        <v>36.200000000000003</v>
      </c>
      <c r="D8" s="2">
        <v>17</v>
      </c>
      <c r="E8" s="2">
        <v>17</v>
      </c>
      <c r="F8" s="2">
        <v>17</v>
      </c>
      <c r="G8" s="2">
        <v>20</v>
      </c>
      <c r="H8" s="2">
        <v>100</v>
      </c>
      <c r="I8" s="2">
        <v>15</v>
      </c>
      <c r="J8" s="2">
        <v>0</v>
      </c>
      <c r="K8" s="2">
        <v>3.6</v>
      </c>
      <c r="L8" s="2">
        <v>0</v>
      </c>
      <c r="M8" s="2">
        <v>0</v>
      </c>
      <c r="N8" s="2">
        <v>37.799999999999997</v>
      </c>
      <c r="O8" s="2">
        <v>3200</v>
      </c>
      <c r="P8" s="45">
        <v>0.47291666666666665</v>
      </c>
      <c r="Q8" s="10"/>
      <c r="R8" s="41"/>
      <c r="S8" s="30">
        <f t="shared" si="3"/>
        <v>12.350999999999996</v>
      </c>
      <c r="T8" s="30">
        <v>2</v>
      </c>
      <c r="U8" s="30">
        <f t="shared" si="4"/>
        <v>3.6000000000000014</v>
      </c>
      <c r="V8" s="30">
        <f t="shared" ref="V8:V27" si="13">U8-(U8/6.13)</f>
        <v>3.0127243066884191</v>
      </c>
      <c r="W8" s="30">
        <f t="shared" si="5"/>
        <v>0.58727569331158236</v>
      </c>
      <c r="X8" s="30">
        <f>V7+V8+V6</f>
        <v>5.439641109298532</v>
      </c>
      <c r="Y8" s="30">
        <f t="shared" ref="Y8:Y27" si="14">10.37-X8</f>
        <v>4.9303588907014673</v>
      </c>
      <c r="Z8" s="30">
        <f t="shared" si="6"/>
        <v>12.938275693311578</v>
      </c>
      <c r="AA8" s="31">
        <f t="shared" si="7"/>
        <v>0.38106769461174866</v>
      </c>
      <c r="AC8" s="18"/>
      <c r="AD8" s="18"/>
      <c r="AE8" s="24"/>
      <c r="AF8" s="25"/>
      <c r="AG8" s="19">
        <v>12</v>
      </c>
      <c r="AH8" s="19">
        <f t="shared" si="8"/>
        <v>1</v>
      </c>
      <c r="AI8" s="19">
        <f t="shared" si="0"/>
        <v>75</v>
      </c>
      <c r="AJ8" s="21">
        <v>0.28699999999999998</v>
      </c>
      <c r="AK8" s="19">
        <f t="shared" si="9"/>
        <v>4.8494748749999997E-2</v>
      </c>
      <c r="AL8" s="19">
        <f t="shared" si="10"/>
        <v>7.4206411092985327</v>
      </c>
      <c r="AM8" s="19">
        <f t="shared" si="11"/>
        <v>254.68736962989206</v>
      </c>
      <c r="AN8" s="19">
        <f t="shared" si="1"/>
        <v>153.01947737791988</v>
      </c>
      <c r="AO8" s="19">
        <f t="shared" si="12"/>
        <v>0.61568557868813756</v>
      </c>
      <c r="AP8" s="19">
        <f t="shared" si="2"/>
        <v>254.68736962989206</v>
      </c>
      <c r="AQ8" s="35"/>
      <c r="AT8" s="10"/>
      <c r="AU8" s="10"/>
      <c r="AV8" s="10"/>
      <c r="AW8" s="10"/>
    </row>
    <row r="9" spans="2:49" x14ac:dyDescent="0.25">
      <c r="B9" s="3" t="s">
        <v>54</v>
      </c>
      <c r="C9" s="5">
        <v>32.4</v>
      </c>
      <c r="D9" s="2">
        <v>18</v>
      </c>
      <c r="E9" s="2">
        <v>18</v>
      </c>
      <c r="F9" s="2">
        <v>18</v>
      </c>
      <c r="G9" s="2">
        <v>20</v>
      </c>
      <c r="H9" s="2">
        <v>15.7</v>
      </c>
      <c r="I9" s="2">
        <v>18</v>
      </c>
      <c r="J9" s="2">
        <v>0</v>
      </c>
      <c r="K9" s="2">
        <v>3.7</v>
      </c>
      <c r="L9" s="2">
        <v>0</v>
      </c>
      <c r="M9" s="2">
        <v>0</v>
      </c>
      <c r="N9" s="2">
        <v>36.4</v>
      </c>
      <c r="O9" s="2">
        <v>1800</v>
      </c>
      <c r="P9" s="45">
        <v>0.36527777777777781</v>
      </c>
      <c r="Q9" s="10"/>
      <c r="R9" s="41"/>
      <c r="S9" s="30">
        <f t="shared" si="3"/>
        <v>10.950999999999997</v>
      </c>
      <c r="T9" s="30">
        <v>3</v>
      </c>
      <c r="U9" s="30">
        <f t="shared" si="4"/>
        <v>1.3999999999999986</v>
      </c>
      <c r="V9" s="30">
        <f t="shared" si="13"/>
        <v>1.1716150081566057</v>
      </c>
      <c r="W9" s="30">
        <f t="shared" si="5"/>
        <v>0.22838499184339289</v>
      </c>
      <c r="X9" s="30">
        <f>V9+V8+V7+V6</f>
        <v>6.6112561174551372</v>
      </c>
      <c r="Y9" s="30">
        <f t="shared" si="14"/>
        <v>3.758743882544862</v>
      </c>
      <c r="Z9" s="30">
        <f t="shared" si="6"/>
        <v>11.17938499184339</v>
      </c>
      <c r="AA9" s="31">
        <f t="shared" si="7"/>
        <v>0.33622098937350181</v>
      </c>
      <c r="AC9" s="18"/>
      <c r="AD9" s="18"/>
      <c r="AE9" s="24"/>
      <c r="AF9" s="25"/>
      <c r="AG9" s="19">
        <v>13</v>
      </c>
      <c r="AH9" s="19">
        <f t="shared" si="8"/>
        <v>1</v>
      </c>
      <c r="AI9" s="19">
        <f t="shared" si="0"/>
        <v>75</v>
      </c>
      <c r="AJ9" s="21">
        <v>0.28699999999999998</v>
      </c>
      <c r="AK9" s="19">
        <f t="shared" si="9"/>
        <v>4.8494748749999997E-2</v>
      </c>
      <c r="AL9" s="19">
        <f t="shared" si="10"/>
        <v>7.1922561174551394</v>
      </c>
      <c r="AM9" s="19">
        <f t="shared" si="11"/>
        <v>225.8182644981741</v>
      </c>
      <c r="AN9" s="19">
        <f t="shared" si="1"/>
        <v>148.30999856361024</v>
      </c>
      <c r="AO9" s="19">
        <f t="shared" si="12"/>
        <v>0.5065254911512862</v>
      </c>
      <c r="AP9" s="19">
        <f t="shared" si="2"/>
        <v>225.8182644981741</v>
      </c>
      <c r="AQ9" s="35"/>
      <c r="AT9" s="10"/>
      <c r="AU9" s="10"/>
      <c r="AV9" s="10"/>
      <c r="AW9" s="10"/>
    </row>
    <row r="10" spans="2:49" x14ac:dyDescent="0.25">
      <c r="B10" s="3" t="s">
        <v>55</v>
      </c>
      <c r="C10" s="5">
        <v>24.6</v>
      </c>
      <c r="D10" s="2">
        <v>18</v>
      </c>
      <c r="E10" s="2">
        <v>18</v>
      </c>
      <c r="F10" s="2">
        <v>18</v>
      </c>
      <c r="G10" s="2">
        <v>20</v>
      </c>
      <c r="H10" s="2">
        <v>11.3</v>
      </c>
      <c r="I10" s="2">
        <v>6</v>
      </c>
      <c r="J10" s="2">
        <v>0</v>
      </c>
      <c r="K10" s="2">
        <v>3.6</v>
      </c>
      <c r="L10" s="2">
        <v>0</v>
      </c>
      <c r="M10" s="2">
        <v>0</v>
      </c>
      <c r="N10" s="2">
        <v>35.4</v>
      </c>
      <c r="O10" s="2">
        <v>1000</v>
      </c>
      <c r="P10" s="45">
        <v>0.30555555555555552</v>
      </c>
      <c r="Q10" s="10"/>
      <c r="R10" s="41"/>
      <c r="S10" s="30">
        <f t="shared" si="3"/>
        <v>9.950999999999997</v>
      </c>
      <c r="T10" s="30">
        <v>4</v>
      </c>
      <c r="U10" s="30">
        <f t="shared" si="4"/>
        <v>1</v>
      </c>
      <c r="V10" s="30">
        <f t="shared" si="13"/>
        <v>0.83686786296900495</v>
      </c>
      <c r="W10" s="30">
        <f t="shared" si="5"/>
        <v>0.16313213703099505</v>
      </c>
      <c r="X10" s="30">
        <f>V10+V9+V8+V7+V6</f>
        <v>7.4481239804241426</v>
      </c>
      <c r="Y10" s="30">
        <f t="shared" si="14"/>
        <v>2.9218760195758566</v>
      </c>
      <c r="Z10" s="30">
        <f t="shared" si="6"/>
        <v>10.114132137030992</v>
      </c>
      <c r="AA10" s="31">
        <f t="shared" si="7"/>
        <v>0.28889043370097539</v>
      </c>
      <c r="AC10" s="18"/>
      <c r="AD10" s="18"/>
      <c r="AE10" s="24"/>
      <c r="AF10" s="25"/>
      <c r="AG10" s="19">
        <v>13</v>
      </c>
      <c r="AH10" s="19">
        <f t="shared" si="8"/>
        <v>0</v>
      </c>
      <c r="AI10" s="19">
        <f t="shared" si="0"/>
        <v>76</v>
      </c>
      <c r="AJ10" s="21">
        <v>0.28699999999999998</v>
      </c>
      <c r="AK10" s="19">
        <f t="shared" si="9"/>
        <v>4.9141345399999994E-2</v>
      </c>
      <c r="AL10" s="19">
        <f t="shared" si="10"/>
        <v>7.0291239804241439</v>
      </c>
      <c r="AM10" s="19">
        <f t="shared" si="11"/>
        <v>202.49750834050218</v>
      </c>
      <c r="AN10" s="19">
        <f t="shared" si="1"/>
        <v>143.03889979422794</v>
      </c>
      <c r="AO10" s="19">
        <f t="shared" si="12"/>
        <v>0.40625305493288183</v>
      </c>
      <c r="AP10" s="19">
        <f t="shared" si="2"/>
        <v>202.49750834050218</v>
      </c>
      <c r="AQ10" s="35"/>
      <c r="AT10" s="10"/>
      <c r="AU10" s="10"/>
      <c r="AV10" s="10"/>
      <c r="AW10" s="10"/>
    </row>
    <row r="11" spans="2:49" x14ac:dyDescent="0.25">
      <c r="B11" s="3" t="s">
        <v>56</v>
      </c>
      <c r="C11" s="5">
        <v>23.2</v>
      </c>
      <c r="D11" s="2">
        <v>19</v>
      </c>
      <c r="E11" s="2">
        <v>19</v>
      </c>
      <c r="F11" s="2">
        <v>19</v>
      </c>
      <c r="G11" s="2">
        <v>20</v>
      </c>
      <c r="H11" s="2">
        <v>6</v>
      </c>
      <c r="I11" s="2">
        <v>3</v>
      </c>
      <c r="J11" s="2">
        <v>0</v>
      </c>
      <c r="K11" s="2">
        <v>3.6</v>
      </c>
      <c r="L11" s="2">
        <v>0</v>
      </c>
      <c r="M11" s="2">
        <v>0</v>
      </c>
      <c r="N11" s="2">
        <v>34.9</v>
      </c>
      <c r="O11" s="2">
        <v>500</v>
      </c>
      <c r="P11" s="45">
        <v>0.30555555555555552</v>
      </c>
      <c r="Q11" s="10"/>
      <c r="R11" s="41"/>
      <c r="S11" s="30">
        <f t="shared" si="3"/>
        <v>9.450999999999997</v>
      </c>
      <c r="T11" s="30">
        <v>5</v>
      </c>
      <c r="U11" s="30">
        <f t="shared" si="4"/>
        <v>0.5</v>
      </c>
      <c r="V11" s="30">
        <f t="shared" si="13"/>
        <v>0.41843393148450247</v>
      </c>
      <c r="W11" s="30">
        <f t="shared" si="5"/>
        <v>8.1566068515497525E-2</v>
      </c>
      <c r="X11" s="30">
        <f>V11+V10+V9+V8+V7+V6</f>
        <v>7.8665579119086448</v>
      </c>
      <c r="Y11" s="30">
        <f t="shared" si="14"/>
        <v>2.5034420880913544</v>
      </c>
      <c r="Z11" s="30">
        <f t="shared" si="6"/>
        <v>9.5325660685154947</v>
      </c>
      <c r="AA11" s="31">
        <f t="shared" si="7"/>
        <v>0.2626199566934882</v>
      </c>
      <c r="AC11" s="18"/>
      <c r="AD11" s="18"/>
      <c r="AE11" s="24"/>
      <c r="AF11" s="25"/>
      <c r="AG11" s="19">
        <v>14</v>
      </c>
      <c r="AH11" s="19">
        <f t="shared" si="8"/>
        <v>1</v>
      </c>
      <c r="AI11" s="19">
        <f t="shared" si="0"/>
        <v>75</v>
      </c>
      <c r="AJ11" s="21">
        <v>0.28699999999999998</v>
      </c>
      <c r="AK11" s="19">
        <f t="shared" si="9"/>
        <v>4.8494748749999997E-2</v>
      </c>
      <c r="AL11" s="19">
        <f t="shared" si="10"/>
        <v>6.9475579119086461</v>
      </c>
      <c r="AM11" s="19">
        <f t="shared" si="11"/>
        <v>194.88708042847625</v>
      </c>
      <c r="AN11" s="19">
        <f t="shared" si="1"/>
        <v>143.26412840542136</v>
      </c>
      <c r="AO11" s="19">
        <f t="shared" si="12"/>
        <v>0.35615278590381261</v>
      </c>
      <c r="AP11" s="19">
        <f t="shared" si="2"/>
        <v>194.88708042847625</v>
      </c>
      <c r="AQ11" s="35"/>
      <c r="AT11" s="10"/>
      <c r="AU11" s="10"/>
      <c r="AV11" s="10"/>
      <c r="AW11" s="10"/>
    </row>
    <row r="12" spans="2:49" x14ac:dyDescent="0.25">
      <c r="B12" s="3" t="s">
        <v>57</v>
      </c>
      <c r="C12" s="5">
        <v>23.4</v>
      </c>
      <c r="D12" s="2">
        <v>20</v>
      </c>
      <c r="E12" s="2">
        <v>20</v>
      </c>
      <c r="F12" s="2">
        <v>20</v>
      </c>
      <c r="G12" s="2">
        <v>20</v>
      </c>
      <c r="H12" s="2">
        <v>4.5</v>
      </c>
      <c r="I12" s="2">
        <v>2</v>
      </c>
      <c r="J12" s="2">
        <v>0</v>
      </c>
      <c r="K12" s="2">
        <v>3.6</v>
      </c>
      <c r="L12" s="2">
        <v>0</v>
      </c>
      <c r="M12" s="2">
        <v>0</v>
      </c>
      <c r="N12" s="2">
        <v>34.4</v>
      </c>
      <c r="O12" s="2">
        <v>500</v>
      </c>
      <c r="P12" s="45">
        <v>0.31944444444444448</v>
      </c>
      <c r="Q12" s="10"/>
      <c r="R12" s="41"/>
      <c r="S12" s="30">
        <f t="shared" si="3"/>
        <v>8.950999999999997</v>
      </c>
      <c r="T12" s="30">
        <v>6</v>
      </c>
      <c r="U12" s="30">
        <f t="shared" si="4"/>
        <v>0.5</v>
      </c>
      <c r="V12" s="30">
        <f t="shared" si="13"/>
        <v>0.41843393148450247</v>
      </c>
      <c r="W12" s="30">
        <f t="shared" si="5"/>
        <v>8.1566068515497525E-2</v>
      </c>
      <c r="X12" s="30">
        <f>V12+V11+V10+V9+V8+V7+V6</f>
        <v>8.2849918433931471</v>
      </c>
      <c r="Y12" s="30">
        <f t="shared" si="14"/>
        <v>2.0850081566068521</v>
      </c>
      <c r="Z12" s="30">
        <f t="shared" si="6"/>
        <v>9.0325660685154947</v>
      </c>
      <c r="AA12" s="31">
        <f t="shared" si="7"/>
        <v>0.23083231728295833</v>
      </c>
      <c r="AC12" s="18"/>
      <c r="AD12" s="18"/>
      <c r="AE12" s="24"/>
      <c r="AF12" s="25"/>
      <c r="AG12" s="19">
        <v>15</v>
      </c>
      <c r="AH12" s="19">
        <f t="shared" si="8"/>
        <v>1</v>
      </c>
      <c r="AI12" s="19">
        <f t="shared" si="0"/>
        <v>75</v>
      </c>
      <c r="AJ12" s="21">
        <v>0.28699999999999998</v>
      </c>
      <c r="AK12" s="19">
        <f t="shared" si="9"/>
        <v>4.8494748749999997E-2</v>
      </c>
      <c r="AL12" s="19">
        <f t="shared" si="10"/>
        <v>6.8659918433931484</v>
      </c>
      <c r="AM12" s="19">
        <f t="shared" si="11"/>
        <v>184.57668573857694</v>
      </c>
      <c r="AN12" s="19">
        <f t="shared" si="1"/>
        <v>141.58217168602505</v>
      </c>
      <c r="AO12" s="19">
        <f t="shared" si="12"/>
        <v>0.30010662495277507</v>
      </c>
      <c r="AP12" s="19">
        <f t="shared" si="2"/>
        <v>184.57668573857694</v>
      </c>
      <c r="AQ12" s="35"/>
      <c r="AT12" s="10"/>
      <c r="AU12" s="10"/>
      <c r="AV12" s="10"/>
      <c r="AW12" s="10"/>
    </row>
    <row r="13" spans="2:49" x14ac:dyDescent="0.25">
      <c r="B13" s="3" t="s">
        <v>58</v>
      </c>
      <c r="C13" s="5">
        <v>30.7</v>
      </c>
      <c r="D13" s="2">
        <v>20</v>
      </c>
      <c r="E13" s="2">
        <v>20</v>
      </c>
      <c r="F13" s="2">
        <v>20</v>
      </c>
      <c r="G13" s="2">
        <v>20</v>
      </c>
      <c r="H13" s="2">
        <v>4.0999999999999996</v>
      </c>
      <c r="I13" s="2">
        <v>1</v>
      </c>
      <c r="J13" s="2">
        <v>0</v>
      </c>
      <c r="K13" s="2">
        <v>3.6</v>
      </c>
      <c r="L13" s="2">
        <v>0</v>
      </c>
      <c r="M13" s="2">
        <v>0</v>
      </c>
      <c r="N13" s="2">
        <v>34</v>
      </c>
      <c r="O13" s="2">
        <v>400</v>
      </c>
      <c r="P13" s="45">
        <v>0.30555555555555552</v>
      </c>
      <c r="Q13" s="10"/>
      <c r="R13" s="41"/>
      <c r="S13" s="30">
        <f t="shared" si="3"/>
        <v>8.5509999999999984</v>
      </c>
      <c r="T13" s="30">
        <v>7</v>
      </c>
      <c r="U13" s="30">
        <f t="shared" si="4"/>
        <v>0.39999999999999858</v>
      </c>
      <c r="V13" s="30">
        <f t="shared" si="13"/>
        <v>0.33474714518760074</v>
      </c>
      <c r="W13" s="30">
        <f t="shared" si="5"/>
        <v>6.5252854812397842E-2</v>
      </c>
      <c r="X13" s="30">
        <f>V13+V12+V11+V10+V9+V8+V7+V6</f>
        <v>8.6197389885807496</v>
      </c>
      <c r="Y13" s="30">
        <f t="shared" si="14"/>
        <v>1.7502610114192496</v>
      </c>
      <c r="Z13" s="30">
        <f t="shared" si="6"/>
        <v>8.6162528548123962</v>
      </c>
      <c r="AA13" s="31">
        <f t="shared" si="7"/>
        <v>0.20313482448947448</v>
      </c>
      <c r="AC13" s="18"/>
      <c r="AD13" s="18"/>
      <c r="AE13" s="24"/>
      <c r="AF13" s="25"/>
      <c r="AG13" s="19">
        <v>15</v>
      </c>
      <c r="AH13" s="19">
        <f t="shared" si="8"/>
        <v>0</v>
      </c>
      <c r="AI13" s="19">
        <f t="shared" si="0"/>
        <v>76</v>
      </c>
      <c r="AJ13" s="21">
        <v>0.28699999999999998</v>
      </c>
      <c r="AK13" s="19">
        <f t="shared" si="9"/>
        <v>4.9141345399999994E-2</v>
      </c>
      <c r="AL13" s="19">
        <f t="shared" si="10"/>
        <v>6.8007389885807505</v>
      </c>
      <c r="AM13" s="19">
        <f t="shared" si="11"/>
        <v>174.00825985525418</v>
      </c>
      <c r="AN13" s="19">
        <f t="shared" si="1"/>
        <v>138.39138780642239</v>
      </c>
      <c r="AO13" s="19">
        <f t="shared" si="12"/>
        <v>0.25491743237409342</v>
      </c>
      <c r="AP13" s="19">
        <f t="shared" si="2"/>
        <v>174.00825985525418</v>
      </c>
      <c r="AQ13" s="35"/>
      <c r="AT13" s="10"/>
      <c r="AU13" s="10"/>
      <c r="AV13" s="10"/>
      <c r="AW13" s="10"/>
    </row>
    <row r="14" spans="2:49" x14ac:dyDescent="0.25">
      <c r="B14" s="3" t="s">
        <v>59</v>
      </c>
      <c r="C14" s="5">
        <v>36.5</v>
      </c>
      <c r="D14" s="2">
        <v>20</v>
      </c>
      <c r="E14" s="2">
        <v>20</v>
      </c>
      <c r="F14" s="2">
        <v>20</v>
      </c>
      <c r="G14" s="2">
        <v>20</v>
      </c>
      <c r="H14" s="2">
        <v>4.8</v>
      </c>
      <c r="I14" s="2">
        <v>2</v>
      </c>
      <c r="J14" s="2">
        <v>0</v>
      </c>
      <c r="K14" s="2">
        <v>3.5</v>
      </c>
      <c r="L14" s="2">
        <v>0</v>
      </c>
      <c r="M14" s="2">
        <v>0</v>
      </c>
      <c r="N14" s="2">
        <v>33.6</v>
      </c>
      <c r="O14" s="2">
        <v>400</v>
      </c>
      <c r="P14" s="45">
        <v>0.32291666666666669</v>
      </c>
      <c r="Q14" s="10"/>
      <c r="R14" s="41"/>
      <c r="S14" s="30">
        <f t="shared" si="3"/>
        <v>8.1509999999999998</v>
      </c>
      <c r="T14" s="30">
        <v>8</v>
      </c>
      <c r="U14" s="30">
        <f t="shared" si="4"/>
        <v>0.39999999999999858</v>
      </c>
      <c r="V14" s="30">
        <f t="shared" si="13"/>
        <v>0.33474714518760074</v>
      </c>
      <c r="W14" s="30">
        <f t="shared" si="5"/>
        <v>6.5252854812397842E-2</v>
      </c>
      <c r="X14" s="30">
        <f>V14+V13+V12+V11+V10+V9+V8+V7+V6</f>
        <v>8.9544861337683486</v>
      </c>
      <c r="Y14" s="30">
        <f t="shared" si="14"/>
        <v>1.4155138662316507</v>
      </c>
      <c r="Z14" s="30">
        <f t="shared" si="6"/>
        <v>8.2162528548123976</v>
      </c>
      <c r="AA14" s="31">
        <f t="shared" si="7"/>
        <v>0.17228216940798752</v>
      </c>
      <c r="AC14" s="18"/>
      <c r="AD14" s="18"/>
      <c r="AE14" s="24"/>
      <c r="AF14" s="25"/>
      <c r="AG14" s="19">
        <v>15</v>
      </c>
      <c r="AH14" s="19">
        <f t="shared" si="8"/>
        <v>0</v>
      </c>
      <c r="AI14" s="19">
        <f t="shared" si="0"/>
        <v>76</v>
      </c>
      <c r="AJ14" s="21">
        <v>0.28699999999999998</v>
      </c>
      <c r="AK14" s="19">
        <f t="shared" si="9"/>
        <v>4.9141345399999994E-2</v>
      </c>
      <c r="AL14" s="19">
        <f t="shared" si="10"/>
        <v>6.7354861337683527</v>
      </c>
      <c r="AM14" s="19">
        <f t="shared" si="11"/>
        <v>165.86847457375475</v>
      </c>
      <c r="AN14" s="19">
        <f t="shared" si="1"/>
        <v>137.06352723847795</v>
      </c>
      <c r="AO14" s="19">
        <f t="shared" si="12"/>
        <v>0.20814118415784921</v>
      </c>
      <c r="AP14" s="19">
        <f t="shared" si="2"/>
        <v>165.86847457375475</v>
      </c>
      <c r="AQ14" s="35"/>
      <c r="AT14" s="10"/>
      <c r="AU14" s="10"/>
      <c r="AV14" s="10"/>
      <c r="AW14" s="10"/>
    </row>
    <row r="15" spans="2:49" x14ac:dyDescent="0.25">
      <c r="B15" s="3" t="s">
        <v>60</v>
      </c>
      <c r="C15" s="5">
        <v>33.9</v>
      </c>
      <c r="D15" s="2">
        <v>20</v>
      </c>
      <c r="E15" s="2">
        <v>20</v>
      </c>
      <c r="F15" s="2">
        <v>20</v>
      </c>
      <c r="G15" s="2">
        <v>20</v>
      </c>
      <c r="H15" s="2">
        <v>2.5</v>
      </c>
      <c r="I15" s="2">
        <v>0</v>
      </c>
      <c r="J15" s="2">
        <v>1</v>
      </c>
      <c r="K15" s="2">
        <v>3.5</v>
      </c>
      <c r="L15" s="2">
        <v>0</v>
      </c>
      <c r="M15" s="2">
        <v>0</v>
      </c>
      <c r="N15" s="2">
        <v>33.299999999999997</v>
      </c>
      <c r="O15" s="2">
        <v>300</v>
      </c>
      <c r="P15" s="45">
        <v>0.3125</v>
      </c>
      <c r="Q15" s="10"/>
      <c r="R15" s="41"/>
      <c r="S15" s="30">
        <f t="shared" si="3"/>
        <v>7.8509999999999955</v>
      </c>
      <c r="T15" s="30">
        <v>9</v>
      </c>
      <c r="U15" s="30">
        <f t="shared" si="4"/>
        <v>0.30000000000000426</v>
      </c>
      <c r="V15" s="30">
        <f t="shared" si="13"/>
        <v>0.25106035889070505</v>
      </c>
      <c r="W15" s="30">
        <f t="shared" si="5"/>
        <v>4.8939641109299215E-2</v>
      </c>
      <c r="X15" s="30">
        <f>V15+V14+V13+V12+V11+V10+V9+V8+V7+V6</f>
        <v>9.2055464926590531</v>
      </c>
      <c r="Y15" s="30">
        <f t="shared" si="14"/>
        <v>1.1644535073409461</v>
      </c>
      <c r="Z15" s="30">
        <f t="shared" si="6"/>
        <v>7.8999396411092944</v>
      </c>
      <c r="AA15" s="31">
        <f t="shared" si="7"/>
        <v>0.14740030433668425</v>
      </c>
      <c r="AC15" s="18"/>
      <c r="AD15" s="18"/>
      <c r="AE15" s="24"/>
      <c r="AF15" s="25"/>
      <c r="AG15" s="19">
        <v>15</v>
      </c>
      <c r="AH15" s="19">
        <f t="shared" si="8"/>
        <v>0</v>
      </c>
      <c r="AI15" s="19">
        <f t="shared" si="0"/>
        <v>76</v>
      </c>
      <c r="AJ15" s="21">
        <v>0.28699999999999998</v>
      </c>
      <c r="AK15" s="19">
        <f t="shared" si="9"/>
        <v>4.9141345399999994E-2</v>
      </c>
      <c r="AL15" s="19">
        <f t="shared" si="10"/>
        <v>6.6865464926590539</v>
      </c>
      <c r="AM15" s="19">
        <f t="shared" si="11"/>
        <v>159.76363561263011</v>
      </c>
      <c r="AN15" s="19">
        <f t="shared" si="1"/>
        <v>136.06763181251961</v>
      </c>
      <c r="AO15" s="19">
        <f t="shared" si="12"/>
        <v>0.172883364944211</v>
      </c>
      <c r="AP15" s="19">
        <f t="shared" si="2"/>
        <v>159.76363561263011</v>
      </c>
      <c r="AQ15" s="35"/>
      <c r="AT15" s="10"/>
      <c r="AU15" s="10"/>
      <c r="AV15" s="10"/>
      <c r="AW15" s="10"/>
    </row>
    <row r="16" spans="2:49" x14ac:dyDescent="0.25">
      <c r="B16" s="3" t="s">
        <v>61</v>
      </c>
      <c r="C16" s="5">
        <v>34.799999999999997</v>
      </c>
      <c r="D16" s="2">
        <v>20</v>
      </c>
      <c r="E16" s="2">
        <v>20</v>
      </c>
      <c r="F16" s="2">
        <v>20</v>
      </c>
      <c r="G16" s="2">
        <v>20</v>
      </c>
      <c r="H16" s="2">
        <v>4.0999999999999996</v>
      </c>
      <c r="I16" s="2">
        <v>0</v>
      </c>
      <c r="J16" s="2">
        <v>0</v>
      </c>
      <c r="K16" s="2">
        <v>3.5</v>
      </c>
      <c r="L16" s="2">
        <v>0</v>
      </c>
      <c r="M16" s="2">
        <v>0</v>
      </c>
      <c r="N16" s="2">
        <v>33.1</v>
      </c>
      <c r="O16" s="2">
        <v>200</v>
      </c>
      <c r="P16" s="45">
        <v>0.34375</v>
      </c>
      <c r="Q16" s="10"/>
      <c r="R16" s="41"/>
      <c r="S16" s="30">
        <f t="shared" si="3"/>
        <v>7.6509999999999998</v>
      </c>
      <c r="T16" s="30">
        <v>10</v>
      </c>
      <c r="U16" s="30">
        <f t="shared" si="4"/>
        <v>0.19999999999999574</v>
      </c>
      <c r="V16" s="30">
        <f t="shared" si="13"/>
        <v>0.16737357259379743</v>
      </c>
      <c r="W16" s="30">
        <f t="shared" si="5"/>
        <v>3.2626427406198311E-2</v>
      </c>
      <c r="X16" s="30">
        <f>V16+V15+V14+V13+V12+V11+V10+V9+V8+V7+V6</f>
        <v>9.3729200652528526</v>
      </c>
      <c r="Y16" s="30">
        <f t="shared" si="14"/>
        <v>0.99707993474714662</v>
      </c>
      <c r="Z16" s="30">
        <f t="shared" si="6"/>
        <v>7.6836264274061978</v>
      </c>
      <c r="AA16" s="31">
        <f t="shared" si="7"/>
        <v>0.12976684175986627</v>
      </c>
      <c r="AC16" s="18"/>
      <c r="AD16" s="18"/>
      <c r="AE16" s="24"/>
      <c r="AF16" s="25"/>
      <c r="AG16" s="19">
        <v>15</v>
      </c>
      <c r="AH16" s="19">
        <f t="shared" si="8"/>
        <v>0</v>
      </c>
      <c r="AI16" s="19">
        <f t="shared" si="0"/>
        <v>76</v>
      </c>
      <c r="AJ16" s="21">
        <v>0.28699999999999998</v>
      </c>
      <c r="AK16" s="19">
        <f t="shared" si="9"/>
        <v>4.9141345399999994E-2</v>
      </c>
      <c r="AL16" s="19">
        <f t="shared" si="10"/>
        <v>6.6539200652528558</v>
      </c>
      <c r="AM16" s="19">
        <f t="shared" si="11"/>
        <v>155.69374297188048</v>
      </c>
      <c r="AN16" s="19">
        <f t="shared" si="1"/>
        <v>135.40370152854743</v>
      </c>
      <c r="AO16" s="19">
        <f t="shared" si="12"/>
        <v>0.14911732623736473</v>
      </c>
      <c r="AP16" s="19">
        <f t="shared" si="2"/>
        <v>155.69374297188048</v>
      </c>
      <c r="AQ16" s="35"/>
      <c r="AT16" s="10"/>
      <c r="AU16" s="10"/>
      <c r="AV16" s="10"/>
      <c r="AW16" s="10"/>
    </row>
    <row r="17" spans="2:49" x14ac:dyDescent="0.25">
      <c r="B17" s="6" t="s">
        <v>62</v>
      </c>
      <c r="C17" s="5">
        <v>29.2</v>
      </c>
      <c r="D17" s="2">
        <v>21</v>
      </c>
      <c r="E17" s="2">
        <v>21</v>
      </c>
      <c r="F17" s="2">
        <v>21</v>
      </c>
      <c r="G17" s="2">
        <v>20</v>
      </c>
      <c r="H17" s="2">
        <v>3.9</v>
      </c>
      <c r="I17" s="2">
        <v>0</v>
      </c>
      <c r="J17" s="2">
        <v>0</v>
      </c>
      <c r="K17" s="2">
        <v>3.6</v>
      </c>
      <c r="L17" s="2">
        <v>0</v>
      </c>
      <c r="M17" s="2">
        <v>0</v>
      </c>
      <c r="N17" s="2">
        <v>33.1</v>
      </c>
      <c r="O17" s="2">
        <v>0</v>
      </c>
      <c r="P17" s="45">
        <v>0.34513888888888888</v>
      </c>
      <c r="Q17" s="10"/>
      <c r="R17" s="41"/>
      <c r="S17" s="30">
        <f t="shared" si="3"/>
        <v>7.6509999999999998</v>
      </c>
      <c r="T17" s="30">
        <v>11</v>
      </c>
      <c r="U17" s="30">
        <f t="shared" si="4"/>
        <v>0</v>
      </c>
      <c r="V17" s="30">
        <f t="shared" si="13"/>
        <v>0</v>
      </c>
      <c r="W17" s="30">
        <f t="shared" si="5"/>
        <v>0</v>
      </c>
      <c r="X17" s="30">
        <f>V17+V16+V15+V14+V13+V12+V11+V10+V9+V8+V7+V6</f>
        <v>9.3729200652528526</v>
      </c>
      <c r="Y17" s="30">
        <f t="shared" si="14"/>
        <v>0.99707993474714662</v>
      </c>
      <c r="Z17" s="30">
        <f t="shared" si="6"/>
        <v>7.6509999999999998</v>
      </c>
      <c r="AA17" s="31">
        <f t="shared" si="7"/>
        <v>0.13032021105047009</v>
      </c>
      <c r="AC17" s="18"/>
      <c r="AD17" s="18"/>
      <c r="AE17" s="24"/>
      <c r="AF17" s="25"/>
      <c r="AG17" s="19">
        <v>16</v>
      </c>
      <c r="AH17" s="19">
        <f t="shared" si="8"/>
        <v>1</v>
      </c>
      <c r="AI17" s="19">
        <f t="shared" si="0"/>
        <v>75</v>
      </c>
      <c r="AJ17" s="21">
        <v>0.28699999999999998</v>
      </c>
      <c r="AK17" s="19">
        <f t="shared" si="9"/>
        <v>4.8494748749999997E-2</v>
      </c>
      <c r="AL17" s="19">
        <f t="shared" si="10"/>
        <v>6.6539200652528558</v>
      </c>
      <c r="AM17" s="19">
        <f t="shared" si="11"/>
        <v>157.76965954483887</v>
      </c>
      <c r="AN17" s="19">
        <f t="shared" si="1"/>
        <v>137.20908421559471</v>
      </c>
      <c r="AO17" s="19">
        <f t="shared" si="12"/>
        <v>0.14984849907559822</v>
      </c>
      <c r="AP17" s="19">
        <f t="shared" si="2"/>
        <v>157.76965954483887</v>
      </c>
      <c r="AQ17" s="35"/>
      <c r="AT17" s="10"/>
      <c r="AU17" s="10"/>
      <c r="AV17" s="10"/>
      <c r="AW17" s="10"/>
    </row>
    <row r="18" spans="2:49" x14ac:dyDescent="0.25">
      <c r="B18" s="3" t="s">
        <v>63</v>
      </c>
      <c r="C18" s="5">
        <v>32.799999999999997</v>
      </c>
      <c r="D18" s="2">
        <v>21</v>
      </c>
      <c r="E18" s="2">
        <v>21</v>
      </c>
      <c r="F18" s="2">
        <v>21</v>
      </c>
      <c r="G18" s="2">
        <v>20</v>
      </c>
      <c r="H18" s="2">
        <v>3.1</v>
      </c>
      <c r="I18" s="2">
        <v>1</v>
      </c>
      <c r="J18" s="2">
        <v>0</v>
      </c>
      <c r="K18" s="2">
        <v>3.5</v>
      </c>
      <c r="L18" s="2">
        <v>0</v>
      </c>
      <c r="M18" s="2">
        <v>0</v>
      </c>
      <c r="N18" s="2">
        <v>33</v>
      </c>
      <c r="O18" s="2">
        <v>100</v>
      </c>
      <c r="P18" s="45">
        <v>0.31805555555555554</v>
      </c>
      <c r="Q18" s="10"/>
      <c r="R18" s="41"/>
      <c r="S18" s="30">
        <f t="shared" si="3"/>
        <v>7.5509999999999984</v>
      </c>
      <c r="T18" s="30">
        <v>12</v>
      </c>
      <c r="U18" s="30">
        <f t="shared" si="4"/>
        <v>0.10000000000000142</v>
      </c>
      <c r="V18" s="30">
        <f t="shared" si="13"/>
        <v>8.3686786296901683E-2</v>
      </c>
      <c r="W18" s="30">
        <f t="shared" si="5"/>
        <v>1.6313213703099738E-2</v>
      </c>
      <c r="X18" s="30">
        <f>V18+V17+V16+V15+V14+V13+V12+V11+V10+V9+V8+V7+V6</f>
        <v>9.4566068515497541</v>
      </c>
      <c r="Y18" s="30">
        <f t="shared" si="14"/>
        <v>0.91339314845024511</v>
      </c>
      <c r="Z18" s="30">
        <f t="shared" si="6"/>
        <v>7.5673132137030983</v>
      </c>
      <c r="AA18" s="31">
        <f t="shared" si="7"/>
        <v>0.12070243726614194</v>
      </c>
      <c r="AC18" s="18"/>
      <c r="AD18" s="18"/>
      <c r="AE18" s="24"/>
      <c r="AF18" s="25"/>
      <c r="AG18" s="19">
        <v>16</v>
      </c>
      <c r="AH18" s="19">
        <f t="shared" si="8"/>
        <v>0</v>
      </c>
      <c r="AI18" s="19">
        <f t="shared" si="0"/>
        <v>76</v>
      </c>
      <c r="AJ18" s="21">
        <v>0.28699999999999998</v>
      </c>
      <c r="AK18" s="19">
        <f t="shared" si="9"/>
        <v>4.9141345399999994E-2</v>
      </c>
      <c r="AL18" s="19">
        <f t="shared" si="10"/>
        <v>6.6376068515497559</v>
      </c>
      <c r="AM18" s="19">
        <f t="shared" si="11"/>
        <v>153.65879665150558</v>
      </c>
      <c r="AN18" s="19">
        <f t="shared" si="1"/>
        <v>135.0717363865613</v>
      </c>
      <c r="AO18" s="19">
        <f t="shared" si="12"/>
        <v>0.13727143390556129</v>
      </c>
      <c r="AP18" s="19">
        <f t="shared" si="2"/>
        <v>153.65879665150558</v>
      </c>
      <c r="AQ18" s="35"/>
      <c r="AT18" s="10"/>
      <c r="AU18" s="10"/>
      <c r="AV18" s="10"/>
      <c r="AW18" s="10"/>
    </row>
    <row r="19" spans="2:49" x14ac:dyDescent="0.25">
      <c r="B19" s="3" t="s">
        <v>64</v>
      </c>
      <c r="C19" s="5">
        <v>27.3</v>
      </c>
      <c r="D19" s="2">
        <v>21</v>
      </c>
      <c r="E19" s="2">
        <v>21</v>
      </c>
      <c r="F19" s="2">
        <v>21</v>
      </c>
      <c r="G19" s="2">
        <v>20</v>
      </c>
      <c r="H19" s="2">
        <v>3.8</v>
      </c>
      <c r="I19" s="2">
        <v>0</v>
      </c>
      <c r="J19" s="2">
        <v>0</v>
      </c>
      <c r="K19" s="2">
        <v>3.5</v>
      </c>
      <c r="L19" s="2">
        <v>0</v>
      </c>
      <c r="M19" s="2">
        <v>0</v>
      </c>
      <c r="N19" s="2">
        <v>32.799999999999997</v>
      </c>
      <c r="O19" s="2">
        <v>200</v>
      </c>
      <c r="P19" s="45">
        <v>0.32291666666666669</v>
      </c>
      <c r="Q19" s="10"/>
      <c r="R19" s="41"/>
      <c r="S19" s="30">
        <f t="shared" si="3"/>
        <v>7.3509999999999955</v>
      </c>
      <c r="T19" s="30">
        <v>13</v>
      </c>
      <c r="U19" s="30">
        <f t="shared" si="4"/>
        <v>0.20000000000000284</v>
      </c>
      <c r="V19" s="30">
        <f t="shared" si="13"/>
        <v>0.16737357259380337</v>
      </c>
      <c r="W19" s="30">
        <f t="shared" si="5"/>
        <v>3.2626427406199476E-2</v>
      </c>
      <c r="X19" s="30">
        <f>V19+V18+V17+V16+V15+V14+V13+V12+V11+V10+V9+V8+V7+V6</f>
        <v>9.6239804241435571</v>
      </c>
      <c r="Y19" s="30">
        <f t="shared" si="14"/>
        <v>0.74601957585644207</v>
      </c>
      <c r="Z19" s="30">
        <f t="shared" si="6"/>
        <v>7.3836264274061953</v>
      </c>
      <c r="AA19" s="31">
        <f t="shared" si="7"/>
        <v>0.1010370152378514</v>
      </c>
      <c r="AC19" s="18"/>
      <c r="AD19" s="18"/>
      <c r="AG19" s="19">
        <v>16</v>
      </c>
      <c r="AH19" s="19">
        <f t="shared" si="8"/>
        <v>0</v>
      </c>
      <c r="AI19" s="19">
        <f t="shared" si="0"/>
        <v>76</v>
      </c>
      <c r="AJ19" s="21">
        <v>0.28699999999999998</v>
      </c>
      <c r="AK19" s="19">
        <f t="shared" si="9"/>
        <v>4.9141345399999994E-2</v>
      </c>
      <c r="AL19" s="19">
        <f t="shared" si="10"/>
        <v>6.6049804241435561</v>
      </c>
      <c r="AM19" s="19">
        <f t="shared" si="11"/>
        <v>149.58890401075581</v>
      </c>
      <c r="AN19" s="19">
        <f t="shared" si="1"/>
        <v>134.40780610258906</v>
      </c>
      <c r="AO19" s="19">
        <f t="shared" si="12"/>
        <v>0.11239285371086129</v>
      </c>
      <c r="AP19" s="19">
        <f t="shared" si="2"/>
        <v>149.58890401075581</v>
      </c>
      <c r="AQ19" s="35"/>
      <c r="AT19" s="10"/>
      <c r="AU19" s="10"/>
      <c r="AV19" s="10"/>
      <c r="AW19" s="10"/>
    </row>
    <row r="20" spans="2:49" x14ac:dyDescent="0.25">
      <c r="B20" s="3" t="s">
        <v>65</v>
      </c>
      <c r="C20" s="5">
        <v>26.9</v>
      </c>
      <c r="D20" s="2">
        <v>21</v>
      </c>
      <c r="E20" s="2">
        <v>21</v>
      </c>
      <c r="F20" s="2">
        <v>21</v>
      </c>
      <c r="G20" s="2">
        <v>20</v>
      </c>
      <c r="H20" s="2">
        <v>4</v>
      </c>
      <c r="I20" s="2">
        <v>0</v>
      </c>
      <c r="J20" s="2">
        <v>0</v>
      </c>
      <c r="K20" s="2">
        <v>3.4</v>
      </c>
      <c r="L20" s="2">
        <v>0</v>
      </c>
      <c r="M20" s="2">
        <v>0</v>
      </c>
      <c r="N20" s="2">
        <v>32.700000000000003</v>
      </c>
      <c r="O20" s="2">
        <v>100</v>
      </c>
      <c r="P20" s="45">
        <v>0.31041666666666667</v>
      </c>
      <c r="Q20" s="39"/>
      <c r="R20" s="41"/>
      <c r="S20" s="30">
        <f t="shared" si="3"/>
        <v>7.2510000000000012</v>
      </c>
      <c r="T20" s="30">
        <v>14</v>
      </c>
      <c r="U20" s="30">
        <f t="shared" si="4"/>
        <v>9.9999999999994316E-2</v>
      </c>
      <c r="V20" s="30">
        <f t="shared" si="13"/>
        <v>8.3686786296895729E-2</v>
      </c>
      <c r="W20" s="30">
        <f t="shared" si="5"/>
        <v>1.6313213703098586E-2</v>
      </c>
      <c r="X20" s="30">
        <f>V20+V19+V18+V17+V16+V15+V14+V13+V12+V11+V10+V9+V8+V7+V6</f>
        <v>9.7076672104404516</v>
      </c>
      <c r="Y20" s="30">
        <f t="shared" si="14"/>
        <v>0.66233278955954766</v>
      </c>
      <c r="Z20" s="30">
        <f t="shared" si="6"/>
        <v>7.2673132137031002</v>
      </c>
      <c r="AA20" s="31">
        <f t="shared" si="7"/>
        <v>9.1138605160249075E-2</v>
      </c>
      <c r="AG20" s="19">
        <v>16</v>
      </c>
      <c r="AH20" s="19">
        <f t="shared" ref="AH20:AH27" si="15">AG20-AG19</f>
        <v>0</v>
      </c>
      <c r="AI20" s="19">
        <f t="shared" ref="AI20:AI27" si="16">$AI$2-AH20</f>
        <v>76</v>
      </c>
      <c r="AJ20" s="21">
        <v>1.2869999999999999</v>
      </c>
      <c r="AK20" s="19">
        <f t="shared" ref="AK20:AK27" si="17">((($AJ$6*$AJ$6)*3.14)/4)*(AI20/100)</f>
        <v>4.9141345399999994E-2</v>
      </c>
      <c r="AL20" s="19">
        <f t="shared" ref="AL20:AL27" si="18">AL19-W20</f>
        <v>6.5886672104404571</v>
      </c>
      <c r="AM20" s="19">
        <f t="shared" ref="AM20:AM27" si="19">S20/AK20</f>
        <v>147.55395769038105</v>
      </c>
      <c r="AN20" s="19">
        <f t="shared" ref="AN20:AN27" si="20">AL20/AK20</f>
        <v>134.07584096060296</v>
      </c>
      <c r="AO20" s="19">
        <f t="shared" ref="AO20:AO27" si="21">(AA20/(1-AA20))</f>
        <v>0.1002777823744164</v>
      </c>
      <c r="AP20" s="19">
        <f t="shared" ref="AP20:AP27" si="22">AM20/(1+AQ20)</f>
        <v>147.55395769038105</v>
      </c>
      <c r="AQ20" s="35"/>
      <c r="AT20" s="10"/>
      <c r="AU20" s="10"/>
      <c r="AV20" s="10"/>
    </row>
    <row r="21" spans="2:49" x14ac:dyDescent="0.25">
      <c r="B21" s="3" t="s">
        <v>66</v>
      </c>
      <c r="C21" s="5">
        <v>28</v>
      </c>
      <c r="D21" s="2">
        <v>21</v>
      </c>
      <c r="E21" s="2">
        <v>21</v>
      </c>
      <c r="F21" s="2">
        <v>21</v>
      </c>
      <c r="G21" s="2">
        <v>20</v>
      </c>
      <c r="H21" s="2">
        <v>4.0999999999999996</v>
      </c>
      <c r="I21" s="2">
        <v>1</v>
      </c>
      <c r="J21" s="2">
        <v>0</v>
      </c>
      <c r="K21" s="2">
        <v>3.6</v>
      </c>
      <c r="L21" s="2">
        <v>0</v>
      </c>
      <c r="M21" s="2">
        <v>0</v>
      </c>
      <c r="N21" s="2">
        <v>32.6</v>
      </c>
      <c r="O21" s="2">
        <v>100</v>
      </c>
      <c r="P21" s="45">
        <v>0.30902777777777779</v>
      </c>
      <c r="Q21" s="10"/>
      <c r="R21" s="42"/>
      <c r="S21" s="30">
        <f t="shared" si="3"/>
        <v>7.1509999999999998</v>
      </c>
      <c r="T21" s="30">
        <v>15</v>
      </c>
      <c r="U21" s="30">
        <f t="shared" si="4"/>
        <v>0.10000000000000142</v>
      </c>
      <c r="V21" s="30">
        <f t="shared" si="13"/>
        <v>8.3686786296901683E-2</v>
      </c>
      <c r="W21" s="30">
        <f t="shared" si="5"/>
        <v>1.6313213703099738E-2</v>
      </c>
      <c r="X21" s="30">
        <f>V21+V20+V19+V18+V17+V16+V15+V14+V13+V12+V11+V10+V9+V8+V7+V6</f>
        <v>9.7913539967373531</v>
      </c>
      <c r="Y21" s="30">
        <f t="shared" si="14"/>
        <v>0.57864600326264615</v>
      </c>
      <c r="Z21" s="30">
        <f t="shared" si="6"/>
        <v>7.1673132137030997</v>
      </c>
      <c r="AA21" s="31">
        <f t="shared" si="7"/>
        <v>8.0734019291404738E-2</v>
      </c>
      <c r="AG21" s="19">
        <v>16</v>
      </c>
      <c r="AH21" s="19">
        <f t="shared" si="15"/>
        <v>0</v>
      </c>
      <c r="AI21" s="19">
        <f t="shared" si="16"/>
        <v>76</v>
      </c>
      <c r="AJ21" s="21">
        <v>2.2869999999999999</v>
      </c>
      <c r="AK21" s="19">
        <f t="shared" si="17"/>
        <v>4.9141345399999994E-2</v>
      </c>
      <c r="AL21" s="19">
        <f t="shared" si="18"/>
        <v>6.5723539967373572</v>
      </c>
      <c r="AM21" s="19">
        <f t="shared" si="19"/>
        <v>145.51901137000618</v>
      </c>
      <c r="AN21" s="19">
        <f t="shared" si="20"/>
        <v>133.74387581861683</v>
      </c>
      <c r="AO21" s="19">
        <f t="shared" si="21"/>
        <v>8.7824439265306822E-2</v>
      </c>
      <c r="AP21" s="19">
        <f t="shared" si="22"/>
        <v>145.51901137000618</v>
      </c>
      <c r="AQ21" s="35"/>
      <c r="AT21" s="10"/>
      <c r="AU21" s="10"/>
      <c r="AV21" s="10"/>
    </row>
    <row r="22" spans="2:49" x14ac:dyDescent="0.25">
      <c r="B22" s="3" t="s">
        <v>67</v>
      </c>
      <c r="C22" s="5">
        <v>29.1</v>
      </c>
      <c r="D22" s="2">
        <v>21</v>
      </c>
      <c r="E22" s="2">
        <v>21</v>
      </c>
      <c r="F22" s="2">
        <v>21</v>
      </c>
      <c r="G22" s="2">
        <v>20</v>
      </c>
      <c r="H22" s="2">
        <v>3.8</v>
      </c>
      <c r="I22" s="2">
        <v>0</v>
      </c>
      <c r="J22" s="2">
        <v>0</v>
      </c>
      <c r="K22" s="2">
        <v>3.5</v>
      </c>
      <c r="L22" s="2">
        <v>0</v>
      </c>
      <c r="M22" s="2">
        <v>0</v>
      </c>
      <c r="N22" s="2">
        <v>32.6</v>
      </c>
      <c r="O22" s="2">
        <v>100</v>
      </c>
      <c r="P22" s="45">
        <v>0.31597222222222221</v>
      </c>
      <c r="Q22" s="10"/>
      <c r="R22" s="42"/>
      <c r="S22" s="30">
        <f t="shared" si="3"/>
        <v>7.1509999999999998</v>
      </c>
      <c r="T22" s="30">
        <v>16</v>
      </c>
      <c r="U22" s="30">
        <f t="shared" si="4"/>
        <v>0</v>
      </c>
      <c r="V22" s="30">
        <f t="shared" si="13"/>
        <v>0</v>
      </c>
      <c r="W22" s="30">
        <f t="shared" si="5"/>
        <v>0</v>
      </c>
      <c r="X22" s="30">
        <f>V22+V21+V20+V19+V18+V17+V16+V15+V14+V13+V12+V11+V10+V9+V8+V7+V6</f>
        <v>9.7913539967373531</v>
      </c>
      <c r="Y22" s="30">
        <f t="shared" si="14"/>
        <v>0.57864600326264615</v>
      </c>
      <c r="Z22" s="30">
        <f t="shared" si="6"/>
        <v>7.1509999999999998</v>
      </c>
      <c r="AA22" s="31">
        <f t="shared" si="7"/>
        <v>8.0918193715934297E-2</v>
      </c>
      <c r="AG22" s="19">
        <v>16</v>
      </c>
      <c r="AH22" s="19">
        <f t="shared" si="15"/>
        <v>0</v>
      </c>
      <c r="AI22" s="19">
        <f t="shared" si="16"/>
        <v>76</v>
      </c>
      <c r="AJ22" s="21">
        <v>3.2869999999999999</v>
      </c>
      <c r="AK22" s="19">
        <f t="shared" si="17"/>
        <v>4.9141345399999994E-2</v>
      </c>
      <c r="AL22" s="19">
        <f t="shared" si="18"/>
        <v>6.5723539967373572</v>
      </c>
      <c r="AM22" s="19">
        <f t="shared" si="19"/>
        <v>145.51901137000618</v>
      </c>
      <c r="AN22" s="19">
        <f t="shared" si="20"/>
        <v>133.74387581861683</v>
      </c>
      <c r="AO22" s="19">
        <f t="shared" si="21"/>
        <v>8.8042427956543046E-2</v>
      </c>
      <c r="AP22" s="19">
        <f t="shared" si="22"/>
        <v>145.51901137000618</v>
      </c>
      <c r="AQ22" s="35"/>
      <c r="AT22" s="10"/>
      <c r="AU22" s="10"/>
      <c r="AV22" s="10"/>
    </row>
    <row r="23" spans="2:49" x14ac:dyDescent="0.25">
      <c r="B23" s="3" t="s">
        <v>68</v>
      </c>
      <c r="C23" s="5">
        <v>30.7</v>
      </c>
      <c r="D23" s="2">
        <v>21</v>
      </c>
      <c r="E23" s="2">
        <v>21</v>
      </c>
      <c r="F23" s="2">
        <v>21</v>
      </c>
      <c r="G23" s="2">
        <v>20</v>
      </c>
      <c r="H23" s="2">
        <v>3.5</v>
      </c>
      <c r="I23" s="2">
        <v>0</v>
      </c>
      <c r="J23" s="2">
        <v>0</v>
      </c>
      <c r="K23" s="2">
        <v>3.4</v>
      </c>
      <c r="L23" s="2">
        <v>0</v>
      </c>
      <c r="M23" s="2">
        <v>0</v>
      </c>
      <c r="N23" s="2">
        <v>32.6</v>
      </c>
      <c r="O23" s="2">
        <v>0</v>
      </c>
      <c r="P23" s="45">
        <v>0.3263888888888889</v>
      </c>
      <c r="Q23" s="10"/>
      <c r="R23" s="42"/>
      <c r="S23" s="30">
        <f t="shared" si="3"/>
        <v>7.1509999999999998</v>
      </c>
      <c r="T23" s="30">
        <v>17</v>
      </c>
      <c r="U23" s="30">
        <f t="shared" si="4"/>
        <v>0</v>
      </c>
      <c r="V23" s="30">
        <f t="shared" si="13"/>
        <v>0</v>
      </c>
      <c r="W23" s="30">
        <f t="shared" si="5"/>
        <v>0</v>
      </c>
      <c r="X23" s="30">
        <f>V23+V22+V21+V20+V19+V18+V17+V16+V15+V14+V13+V12+V11+V10+V9+V8+V7+V6</f>
        <v>9.7913539967373531</v>
      </c>
      <c r="Y23" s="30">
        <f t="shared" si="14"/>
        <v>0.57864600326264615</v>
      </c>
      <c r="Z23" s="30">
        <f t="shared" si="6"/>
        <v>7.1509999999999998</v>
      </c>
      <c r="AA23" s="31">
        <f t="shared" si="7"/>
        <v>8.0918193715934297E-2</v>
      </c>
      <c r="AG23" s="19">
        <v>16</v>
      </c>
      <c r="AH23" s="19">
        <f t="shared" si="15"/>
        <v>0</v>
      </c>
      <c r="AI23" s="19">
        <f t="shared" si="16"/>
        <v>76</v>
      </c>
      <c r="AJ23" s="21">
        <v>4.2869999999999999</v>
      </c>
      <c r="AK23" s="19">
        <f t="shared" si="17"/>
        <v>4.9141345399999994E-2</v>
      </c>
      <c r="AL23" s="19">
        <f t="shared" si="18"/>
        <v>6.5723539967373572</v>
      </c>
      <c r="AM23" s="19">
        <f t="shared" si="19"/>
        <v>145.51901137000618</v>
      </c>
      <c r="AN23" s="19">
        <f t="shared" si="20"/>
        <v>133.74387581861683</v>
      </c>
      <c r="AO23" s="19">
        <f t="shared" si="21"/>
        <v>8.8042427956543046E-2</v>
      </c>
      <c r="AP23" s="19">
        <f t="shared" si="22"/>
        <v>145.51901137000618</v>
      </c>
      <c r="AQ23" s="35"/>
      <c r="AT23" s="10"/>
      <c r="AU23" s="10"/>
      <c r="AV23" s="10"/>
    </row>
    <row r="24" spans="2:49" x14ac:dyDescent="0.25">
      <c r="B24" s="3" t="s">
        <v>69</v>
      </c>
      <c r="C24" s="5">
        <v>33.5</v>
      </c>
      <c r="D24" s="2">
        <v>21</v>
      </c>
      <c r="E24" s="2">
        <v>21</v>
      </c>
      <c r="F24" s="2">
        <v>21</v>
      </c>
      <c r="G24" s="2">
        <v>20</v>
      </c>
      <c r="H24" s="2">
        <v>4</v>
      </c>
      <c r="I24" s="2">
        <v>0</v>
      </c>
      <c r="J24" s="2">
        <v>0</v>
      </c>
      <c r="K24" s="2">
        <v>3.4</v>
      </c>
      <c r="L24" s="2">
        <v>0</v>
      </c>
      <c r="M24" s="2">
        <v>0</v>
      </c>
      <c r="N24" s="2">
        <v>32.5</v>
      </c>
      <c r="O24" s="2">
        <v>0</v>
      </c>
      <c r="P24" s="45">
        <v>0.32291666666666669</v>
      </c>
      <c r="Q24" s="10"/>
      <c r="R24" s="42"/>
      <c r="S24" s="30">
        <f t="shared" si="3"/>
        <v>7.0509999999999984</v>
      </c>
      <c r="T24" s="30">
        <v>18</v>
      </c>
      <c r="U24" s="30">
        <f t="shared" si="4"/>
        <v>0.10000000000000142</v>
      </c>
      <c r="V24" s="30">
        <f t="shared" si="13"/>
        <v>8.3686786296901683E-2</v>
      </c>
      <c r="W24" s="30">
        <f t="shared" si="5"/>
        <v>1.6313213703099738E-2</v>
      </c>
      <c r="X24" s="30">
        <f>V24+V23+V22+V21+V20+V19+V18+V17+V16+V15+V14+V13+V12+V11+V10+V9+V8+V7+V6</f>
        <v>9.8750407830342546</v>
      </c>
      <c r="Y24" s="30">
        <f t="shared" si="14"/>
        <v>0.49495921696574463</v>
      </c>
      <c r="Z24" s="30">
        <f t="shared" si="6"/>
        <v>7.0673132137030983</v>
      </c>
      <c r="AA24" s="31">
        <f t="shared" si="7"/>
        <v>7.0034990950457413E-2</v>
      </c>
      <c r="AG24" s="19">
        <v>16</v>
      </c>
      <c r="AH24" s="19">
        <f t="shared" si="15"/>
        <v>0</v>
      </c>
      <c r="AI24" s="19">
        <f t="shared" si="16"/>
        <v>76</v>
      </c>
      <c r="AJ24" s="21">
        <v>5.2869999999999999</v>
      </c>
      <c r="AK24" s="19">
        <f t="shared" si="17"/>
        <v>4.9141345399999994E-2</v>
      </c>
      <c r="AL24" s="19">
        <f t="shared" si="18"/>
        <v>6.5560407830342573</v>
      </c>
      <c r="AM24" s="19">
        <f t="shared" si="19"/>
        <v>143.48406504963128</v>
      </c>
      <c r="AN24" s="19">
        <f t="shared" si="20"/>
        <v>133.41191067663073</v>
      </c>
      <c r="AO24" s="19">
        <f t="shared" si="21"/>
        <v>7.5309275369441778E-2</v>
      </c>
      <c r="AP24" s="19">
        <f t="shared" si="22"/>
        <v>143.48406504963128</v>
      </c>
      <c r="AQ24" s="35"/>
      <c r="AT24" s="10"/>
      <c r="AU24" s="10"/>
      <c r="AV24" s="10"/>
    </row>
    <row r="25" spans="2:49" x14ac:dyDescent="0.25">
      <c r="B25" s="3" t="s">
        <v>70</v>
      </c>
      <c r="C25" s="5">
        <v>33.299999999999997</v>
      </c>
      <c r="D25" s="2">
        <v>21</v>
      </c>
      <c r="E25" s="2">
        <v>21</v>
      </c>
      <c r="F25" s="2">
        <v>21</v>
      </c>
      <c r="G25" s="2">
        <v>20</v>
      </c>
      <c r="H25" s="2">
        <v>3.6</v>
      </c>
      <c r="I25" s="2">
        <v>0</v>
      </c>
      <c r="J25" s="2">
        <v>0</v>
      </c>
      <c r="K25" s="2">
        <v>3.3</v>
      </c>
      <c r="L25" s="2">
        <v>0</v>
      </c>
      <c r="M25" s="2">
        <v>0</v>
      </c>
      <c r="N25" s="2">
        <v>32.5</v>
      </c>
      <c r="O25" s="2">
        <v>0</v>
      </c>
      <c r="P25" s="45">
        <v>0.3125</v>
      </c>
      <c r="Q25" s="10"/>
      <c r="R25" s="42"/>
      <c r="S25" s="30">
        <f t="shared" si="3"/>
        <v>7.0509999999999984</v>
      </c>
      <c r="T25" s="30">
        <v>19</v>
      </c>
      <c r="U25" s="30">
        <f t="shared" si="4"/>
        <v>0</v>
      </c>
      <c r="V25" s="30">
        <f t="shared" si="13"/>
        <v>0</v>
      </c>
      <c r="W25" s="30">
        <f t="shared" si="5"/>
        <v>0</v>
      </c>
      <c r="X25" s="30">
        <f>V25+V24+V23+V22+V21+V20+V19+V18+V17+V16+V15+V14+V13+V12+V11+V10+V9+V8+V7+V6</f>
        <v>9.8750407830342546</v>
      </c>
      <c r="Y25" s="30">
        <f t="shared" si="14"/>
        <v>0.49495921696574463</v>
      </c>
      <c r="Z25" s="30">
        <f t="shared" si="6"/>
        <v>7.0509999999999984</v>
      </c>
      <c r="AA25" s="31">
        <f t="shared" si="7"/>
        <v>7.0197024105197098E-2</v>
      </c>
      <c r="AG25" s="19">
        <v>16</v>
      </c>
      <c r="AH25" s="19">
        <f t="shared" si="15"/>
        <v>0</v>
      </c>
      <c r="AI25" s="19">
        <f t="shared" si="16"/>
        <v>76</v>
      </c>
      <c r="AJ25" s="21">
        <v>6.2869999999999999</v>
      </c>
      <c r="AK25" s="19">
        <f t="shared" si="17"/>
        <v>4.9141345399999994E-2</v>
      </c>
      <c r="AL25" s="19">
        <f t="shared" si="18"/>
        <v>6.5560407830342573</v>
      </c>
      <c r="AM25" s="19">
        <f t="shared" si="19"/>
        <v>143.48406504963128</v>
      </c>
      <c r="AN25" s="19">
        <f t="shared" si="20"/>
        <v>133.41191067663073</v>
      </c>
      <c r="AO25" s="19">
        <f t="shared" si="21"/>
        <v>7.5496665342076871E-2</v>
      </c>
      <c r="AP25" s="19">
        <f t="shared" si="22"/>
        <v>143.48406504963128</v>
      </c>
      <c r="AQ25" s="35"/>
      <c r="AT25" s="10"/>
      <c r="AU25" s="10"/>
      <c r="AV25" s="10"/>
    </row>
    <row r="26" spans="2:49" x14ac:dyDescent="0.25">
      <c r="B26" s="3" t="s">
        <v>71</v>
      </c>
      <c r="C26" s="5">
        <v>32.5</v>
      </c>
      <c r="D26" s="2">
        <v>21</v>
      </c>
      <c r="E26" s="2">
        <v>21</v>
      </c>
      <c r="F26" s="2">
        <v>21</v>
      </c>
      <c r="G26" s="2">
        <v>20</v>
      </c>
      <c r="H26" s="2">
        <v>3.4</v>
      </c>
      <c r="I26" s="2">
        <v>0</v>
      </c>
      <c r="J26" s="2">
        <v>0</v>
      </c>
      <c r="K26" s="2">
        <v>3.5</v>
      </c>
      <c r="L26" s="2">
        <v>0</v>
      </c>
      <c r="M26" s="2">
        <v>0</v>
      </c>
      <c r="N26" s="2">
        <v>32.5</v>
      </c>
      <c r="O26" s="2">
        <v>0</v>
      </c>
      <c r="P26" s="45">
        <v>0.30763888888888891</v>
      </c>
      <c r="Q26" s="10"/>
      <c r="R26" s="42"/>
      <c r="S26" s="30">
        <f t="shared" si="3"/>
        <v>7.0509999999999984</v>
      </c>
      <c r="T26" s="30">
        <v>20</v>
      </c>
      <c r="U26" s="30">
        <f t="shared" si="4"/>
        <v>0</v>
      </c>
      <c r="V26" s="30">
        <f t="shared" si="13"/>
        <v>0</v>
      </c>
      <c r="W26" s="30">
        <f t="shared" si="5"/>
        <v>0</v>
      </c>
      <c r="X26" s="30">
        <f>V26+V25+V24+V23+V22+V21+V20+V19+V18+V17+V16+V15+V14+V13+V12+V11+V10+V9+V8+V7+V6</f>
        <v>9.8750407830342546</v>
      </c>
      <c r="Y26" s="30">
        <f t="shared" si="14"/>
        <v>0.49495921696574463</v>
      </c>
      <c r="Z26" s="30">
        <f t="shared" si="6"/>
        <v>7.0509999999999984</v>
      </c>
      <c r="AA26" s="31">
        <f t="shared" si="7"/>
        <v>7.0197024105197098E-2</v>
      </c>
      <c r="AG26" s="19">
        <v>16</v>
      </c>
      <c r="AH26" s="19">
        <f t="shared" si="15"/>
        <v>0</v>
      </c>
      <c r="AI26" s="19">
        <f t="shared" si="16"/>
        <v>76</v>
      </c>
      <c r="AJ26" s="21">
        <v>7.2869999999999999</v>
      </c>
      <c r="AK26" s="19">
        <f t="shared" si="17"/>
        <v>4.9141345399999994E-2</v>
      </c>
      <c r="AL26" s="19">
        <f t="shared" si="18"/>
        <v>6.5560407830342573</v>
      </c>
      <c r="AM26" s="19">
        <f t="shared" si="19"/>
        <v>143.48406504963128</v>
      </c>
      <c r="AN26" s="19">
        <f t="shared" si="20"/>
        <v>133.41191067663073</v>
      </c>
      <c r="AO26" s="19">
        <f t="shared" si="21"/>
        <v>7.5496665342076871E-2</v>
      </c>
      <c r="AP26" s="19">
        <f t="shared" si="22"/>
        <v>143.48406504963128</v>
      </c>
      <c r="AQ26" s="35"/>
      <c r="AT26" s="10"/>
      <c r="AU26" s="10"/>
      <c r="AV26" s="10"/>
    </row>
    <row r="27" spans="2:49" x14ac:dyDescent="0.25">
      <c r="B27" s="3" t="s">
        <v>72</v>
      </c>
      <c r="C27" s="5">
        <v>31.7</v>
      </c>
      <c r="D27" s="2">
        <v>21</v>
      </c>
      <c r="E27" s="2">
        <v>21</v>
      </c>
      <c r="F27" s="2">
        <v>21</v>
      </c>
      <c r="G27" s="2">
        <v>20</v>
      </c>
      <c r="H27" s="2">
        <v>3.9</v>
      </c>
      <c r="I27" s="2">
        <v>0</v>
      </c>
      <c r="J27" s="2">
        <v>0</v>
      </c>
      <c r="K27" s="2">
        <v>3.3</v>
      </c>
      <c r="L27" s="2">
        <v>0</v>
      </c>
      <c r="M27" s="2">
        <v>0</v>
      </c>
      <c r="N27" s="2">
        <v>32.5</v>
      </c>
      <c r="O27" s="2">
        <v>0</v>
      </c>
      <c r="P27" s="45">
        <v>0.31527777777777777</v>
      </c>
      <c r="S27" s="30">
        <f t="shared" si="3"/>
        <v>7.0509999999999984</v>
      </c>
      <c r="T27" s="30">
        <v>21</v>
      </c>
      <c r="U27" s="30">
        <f t="shared" si="4"/>
        <v>0</v>
      </c>
      <c r="V27" s="30">
        <f t="shared" si="13"/>
        <v>0</v>
      </c>
      <c r="W27" s="30">
        <f t="shared" si="5"/>
        <v>0</v>
      </c>
      <c r="X27" s="30">
        <f>V27+V26+V25+V24+V23+V22+V21+V20+V19+V18+V17+V16+V15+V14+V13+V12+V11+V10+V9+V8+V7+V6</f>
        <v>9.8750407830342546</v>
      </c>
      <c r="Y27" s="30">
        <f t="shared" si="14"/>
        <v>0.49495921696574463</v>
      </c>
      <c r="Z27" s="30">
        <f t="shared" si="6"/>
        <v>7.0509999999999984</v>
      </c>
      <c r="AA27" s="31">
        <f t="shared" si="7"/>
        <v>7.0197024105197098E-2</v>
      </c>
      <c r="AE27" s="26" t="s">
        <v>310</v>
      </c>
      <c r="AF27" s="27">
        <v>1670</v>
      </c>
      <c r="AG27" s="19">
        <v>16</v>
      </c>
      <c r="AH27" s="19">
        <f t="shared" si="15"/>
        <v>0</v>
      </c>
      <c r="AI27" s="19">
        <f t="shared" si="16"/>
        <v>76</v>
      </c>
      <c r="AJ27" s="21">
        <v>8.2870000000000008</v>
      </c>
      <c r="AK27" s="19">
        <f t="shared" si="17"/>
        <v>4.9141345399999994E-2</v>
      </c>
      <c r="AL27" s="19">
        <f t="shared" si="18"/>
        <v>6.5560407830342573</v>
      </c>
      <c r="AM27" s="19">
        <f t="shared" si="19"/>
        <v>143.48406504963128</v>
      </c>
      <c r="AN27" s="19">
        <f t="shared" si="20"/>
        <v>133.41191067663073</v>
      </c>
      <c r="AO27" s="19">
        <f t="shared" si="21"/>
        <v>7.5496665342076871E-2</v>
      </c>
      <c r="AP27" s="19">
        <f t="shared" si="22"/>
        <v>143.48406504963128</v>
      </c>
      <c r="AQ27" s="35"/>
      <c r="AT27" s="10"/>
      <c r="AU27" s="10"/>
      <c r="AV27" s="10"/>
    </row>
    <row r="28" spans="2:49" x14ac:dyDescent="0.25">
      <c r="U28" s="30"/>
      <c r="X28" s="30"/>
      <c r="AQ28" s="35"/>
    </row>
    <row r="29" spans="2:49" x14ac:dyDescent="0.25">
      <c r="B29" s="63" t="s">
        <v>303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S29" s="63" t="s">
        <v>305</v>
      </c>
      <c r="T29" s="63"/>
      <c r="U29" s="63"/>
      <c r="V29" s="63"/>
      <c r="W29" s="63"/>
      <c r="X29" s="63"/>
      <c r="Y29" s="63"/>
      <c r="Z29" s="63"/>
      <c r="AA29" s="63"/>
      <c r="AG29" s="63" t="s">
        <v>305</v>
      </c>
      <c r="AH29" s="63"/>
      <c r="AI29" s="63"/>
      <c r="AJ29" s="63"/>
      <c r="AK29" s="63"/>
      <c r="AL29" s="63"/>
      <c r="AM29" s="63"/>
      <c r="AN29" s="63"/>
      <c r="AO29" s="63"/>
      <c r="AP29" s="63"/>
      <c r="AQ29" s="35"/>
    </row>
    <row r="30" spans="2:49" x14ac:dyDescent="0.25">
      <c r="AQ30" s="35"/>
    </row>
    <row r="31" spans="2:49" x14ac:dyDescent="0.25">
      <c r="S31" t="s">
        <v>313</v>
      </c>
      <c r="X31" s="8">
        <v>10.37</v>
      </c>
      <c r="AQ31" s="35"/>
    </row>
    <row r="32" spans="2:49" x14ac:dyDescent="0.25">
      <c r="S32" t="s">
        <v>312</v>
      </c>
      <c r="X32" s="8">
        <v>0.22500000000000001</v>
      </c>
      <c r="AQ32" s="35"/>
    </row>
    <row r="33" spans="1:43" x14ac:dyDescent="0.25">
      <c r="S33" t="s">
        <v>311</v>
      </c>
      <c r="X33" s="8">
        <f>S6-S27</f>
        <v>11.799999999999997</v>
      </c>
      <c r="Z33" s="8"/>
      <c r="AQ33" s="35"/>
    </row>
    <row r="34" spans="1:43" x14ac:dyDescent="0.25">
      <c r="S34" t="s">
        <v>314</v>
      </c>
      <c r="X34" s="8">
        <f>X31-X32</f>
        <v>10.145</v>
      </c>
      <c r="AQ34" s="35"/>
    </row>
    <row r="35" spans="1:43" x14ac:dyDescent="0.25">
      <c r="S35" t="s">
        <v>315</v>
      </c>
      <c r="X35" s="8">
        <f>X33-X34</f>
        <v>1.6549999999999976</v>
      </c>
      <c r="Y35" s="18"/>
      <c r="AQ35" s="35"/>
    </row>
    <row r="36" spans="1:43" x14ac:dyDescent="0.25">
      <c r="AQ36" s="35"/>
    </row>
    <row r="37" spans="1:43" x14ac:dyDescent="0.25">
      <c r="S37" t="s">
        <v>316</v>
      </c>
      <c r="X37" s="29">
        <f>X34/X35</f>
        <v>6.1299093655589214</v>
      </c>
      <c r="AQ37" s="35"/>
    </row>
    <row r="38" spans="1:43" x14ac:dyDescent="0.25">
      <c r="AQ38" s="35"/>
    </row>
    <row r="39" spans="1:43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8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10" spans="46:46" x14ac:dyDescent="0.25">
      <c r="AT410" s="7"/>
    </row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54" spans="46:46" x14ac:dyDescent="0.25">
      <c r="AT554" s="7"/>
    </row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84" spans="46:46" x14ac:dyDescent="0.25">
      <c r="AT684" s="7"/>
    </row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</sheetData>
  <mergeCells count="3">
    <mergeCell ref="B29:P29"/>
    <mergeCell ref="S29:AA29"/>
    <mergeCell ref="AG29:AP2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BCAE5-F40E-4BD7-913A-80403F4531E1}">
  <dimension ref="A1:AW1325"/>
  <sheetViews>
    <sheetView zoomScaleNormal="100" workbookViewId="0">
      <selection activeCell="AG68" sqref="AG68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2.2851562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</cols>
  <sheetData>
    <row r="1" spans="2:49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9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9" x14ac:dyDescent="0.25">
      <c r="L3" s="9"/>
      <c r="M3" s="10"/>
      <c r="AQ3" s="35"/>
    </row>
    <row r="4" spans="2:49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347</v>
      </c>
      <c r="W4" s="17" t="s">
        <v>348</v>
      </c>
      <c r="X4" s="17" t="s">
        <v>349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9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9" x14ac:dyDescent="0.25">
      <c r="B6" s="3" t="s">
        <v>73</v>
      </c>
      <c r="C6" s="5">
        <v>19.100000000000001</v>
      </c>
      <c r="D6" s="2">
        <v>6</v>
      </c>
      <c r="E6" s="2">
        <v>6</v>
      </c>
      <c r="F6" s="2">
        <v>6</v>
      </c>
      <c r="G6" s="2">
        <v>20</v>
      </c>
      <c r="H6" s="2">
        <v>0</v>
      </c>
      <c r="I6" s="2">
        <v>0</v>
      </c>
      <c r="J6" s="2">
        <v>0</v>
      </c>
      <c r="K6" s="2">
        <v>21</v>
      </c>
      <c r="L6" s="2">
        <v>0</v>
      </c>
      <c r="M6" s="2">
        <v>0</v>
      </c>
      <c r="N6" s="2">
        <v>42.7</v>
      </c>
      <c r="O6" s="2">
        <v>0</v>
      </c>
      <c r="P6" s="45">
        <v>0.44791666666666669</v>
      </c>
      <c r="Q6" s="10"/>
      <c r="R6" s="41"/>
      <c r="S6" s="30">
        <f>N6-25.738</f>
        <v>16.962000000000003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8.4809999999999999</v>
      </c>
      <c r="Z6" s="30">
        <f>S6-V6</f>
        <v>16.962000000000003</v>
      </c>
      <c r="AA6" s="31">
        <f>Y6/Z6</f>
        <v>0.49999999999999989</v>
      </c>
      <c r="AC6" s="18"/>
      <c r="AD6" s="18">
        <v>1000</v>
      </c>
      <c r="AE6" s="22" t="s">
        <v>309</v>
      </c>
      <c r="AF6" s="23">
        <v>1580</v>
      </c>
      <c r="AG6" s="19">
        <v>1</v>
      </c>
      <c r="AH6" s="19">
        <v>0</v>
      </c>
      <c r="AI6" s="19">
        <f t="shared" ref="AI6:AI26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8.4809999999999999</v>
      </c>
      <c r="AM6" s="19">
        <f>S6/AK6</f>
        <v>345.16759486198367</v>
      </c>
      <c r="AN6" s="19">
        <f t="shared" ref="AN6:AN26" si="1">AL6/AK6</f>
        <v>172.58379743099181</v>
      </c>
      <c r="AO6" s="19">
        <f>(AA6/(1-AA6))</f>
        <v>0.99999999999999956</v>
      </c>
      <c r="AP6" s="19">
        <f t="shared" ref="AP6:AP26" si="2">AM6/(1+AQ6)</f>
        <v>345.16759486198367</v>
      </c>
      <c r="AQ6" s="35"/>
      <c r="AT6" s="10"/>
      <c r="AU6" s="10"/>
      <c r="AV6" s="10"/>
      <c r="AW6" s="10"/>
    </row>
    <row r="7" spans="2:49" x14ac:dyDescent="0.25">
      <c r="B7" s="3" t="s">
        <v>74</v>
      </c>
      <c r="C7" s="5">
        <v>47.7</v>
      </c>
      <c r="D7" s="2">
        <v>10</v>
      </c>
      <c r="E7" s="2">
        <v>10</v>
      </c>
      <c r="F7" s="2">
        <v>10</v>
      </c>
      <c r="G7" s="2">
        <v>20</v>
      </c>
      <c r="H7" s="2">
        <v>43.5</v>
      </c>
      <c r="I7" s="2">
        <v>0</v>
      </c>
      <c r="J7" s="2">
        <v>0</v>
      </c>
      <c r="K7" s="2">
        <v>3</v>
      </c>
      <c r="L7" s="2">
        <v>0</v>
      </c>
      <c r="M7" s="2">
        <v>0</v>
      </c>
      <c r="N7" s="2">
        <v>41.1</v>
      </c>
      <c r="O7" s="2">
        <v>1600</v>
      </c>
      <c r="P7" s="45">
        <v>0.31597222222222221</v>
      </c>
      <c r="Q7" s="10"/>
      <c r="R7" s="41"/>
      <c r="S7" s="30">
        <f t="shared" ref="S7:S26" si="3">N7-25.738</f>
        <v>15.362000000000002</v>
      </c>
      <c r="T7" s="30">
        <v>1</v>
      </c>
      <c r="U7" s="30">
        <f t="shared" ref="U7:U26" si="4">S6-S7</f>
        <v>1.6000000000000014</v>
      </c>
      <c r="V7" s="30">
        <f>U7-(U7/5.83)</f>
        <v>1.3255574614065191</v>
      </c>
      <c r="W7" s="30">
        <f t="shared" ref="W7:W26" si="5">U7-V7</f>
        <v>0.27444253859348233</v>
      </c>
      <c r="X7" s="30">
        <f>V7+V6</f>
        <v>1.3255574614065191</v>
      </c>
      <c r="Y7" s="30">
        <f>8.481-X7</f>
        <v>7.1554425385934808</v>
      </c>
      <c r="Z7" s="30">
        <f t="shared" ref="Z7:Z26" si="6">S6-V7</f>
        <v>15.636442538593485</v>
      </c>
      <c r="AA7" s="31">
        <f t="shared" ref="AA7:AA26" si="7">Y7/Z7</f>
        <v>0.45761320203956829</v>
      </c>
      <c r="AC7" s="18"/>
      <c r="AD7" s="18"/>
      <c r="AE7" s="24"/>
      <c r="AF7" s="25"/>
      <c r="AG7" s="19">
        <v>5</v>
      </c>
      <c r="AH7" s="19">
        <f t="shared" ref="AH7:AH26" si="8">AG7-AG6</f>
        <v>4</v>
      </c>
      <c r="AI7" s="19">
        <f t="shared" si="0"/>
        <v>72</v>
      </c>
      <c r="AJ7" s="21">
        <v>0.28699999999999998</v>
      </c>
      <c r="AK7" s="19">
        <f t="shared" ref="AK7:AK26" si="9">((($AJ$6*$AJ$6)*3.14)/4)*(AI7/100)</f>
        <v>4.655495879999999E-2</v>
      </c>
      <c r="AL7" s="19">
        <f t="shared" ref="AL7:AL26" si="10">AL6-W7</f>
        <v>8.2065574614065184</v>
      </c>
      <c r="AM7" s="19">
        <f t="shared" ref="AM7:AM26" si="11">S7/AK7</f>
        <v>329.97559005465183</v>
      </c>
      <c r="AN7" s="19">
        <f t="shared" si="1"/>
        <v>176.27676348424822</v>
      </c>
      <c r="AO7" s="19">
        <f t="shared" ref="AO7:AO26" si="12">(AA7/(1-AA7))</f>
        <v>0.84370269291280231</v>
      </c>
      <c r="AP7" s="19">
        <f t="shared" si="2"/>
        <v>329.97559005465183</v>
      </c>
      <c r="AQ7" s="35"/>
      <c r="AT7" s="10"/>
      <c r="AU7" s="10"/>
      <c r="AV7" s="10"/>
      <c r="AW7" s="10"/>
    </row>
    <row r="8" spans="2:49" x14ac:dyDescent="0.25">
      <c r="B8" s="3" t="s">
        <v>75</v>
      </c>
      <c r="C8" s="5">
        <v>46.4</v>
      </c>
      <c r="D8" s="2">
        <v>15</v>
      </c>
      <c r="E8" s="2">
        <v>15</v>
      </c>
      <c r="F8" s="2">
        <v>15</v>
      </c>
      <c r="G8" s="2">
        <v>20</v>
      </c>
      <c r="H8" s="2">
        <v>49.7</v>
      </c>
      <c r="I8" s="2">
        <v>0</v>
      </c>
      <c r="J8" s="2">
        <v>0</v>
      </c>
      <c r="K8" s="2">
        <v>3.1</v>
      </c>
      <c r="L8" s="2">
        <v>0</v>
      </c>
      <c r="M8" s="2">
        <v>0</v>
      </c>
      <c r="N8" s="2">
        <v>37.6</v>
      </c>
      <c r="O8" s="2">
        <v>3500</v>
      </c>
      <c r="P8" s="45">
        <v>0.36388888888888887</v>
      </c>
      <c r="Q8" s="10"/>
      <c r="R8" s="41"/>
      <c r="S8" s="30">
        <f t="shared" si="3"/>
        <v>11.862000000000002</v>
      </c>
      <c r="T8" s="30">
        <v>2</v>
      </c>
      <c r="U8" s="30">
        <f t="shared" si="4"/>
        <v>3.5</v>
      </c>
      <c r="V8" s="30">
        <f t="shared" ref="V8:V26" si="13">U8-(U8/5.83)</f>
        <v>2.8996569468267581</v>
      </c>
      <c r="W8" s="30">
        <f t="shared" si="5"/>
        <v>0.60034305317324188</v>
      </c>
      <c r="X8" s="30">
        <f>V7+V8+V6</f>
        <v>4.2252144082332777</v>
      </c>
      <c r="Y8" s="30">
        <f t="shared" ref="Y8:Y26" si="14">8.481-X8</f>
        <v>4.2557855917667222</v>
      </c>
      <c r="Z8" s="30">
        <f t="shared" si="6"/>
        <v>12.462343053173244</v>
      </c>
      <c r="AA8" s="31">
        <f t="shared" si="7"/>
        <v>0.34149160985285876</v>
      </c>
      <c r="AC8" s="18"/>
      <c r="AD8" s="18"/>
      <c r="AE8" s="24"/>
      <c r="AF8" s="25"/>
      <c r="AG8" s="19">
        <v>10</v>
      </c>
      <c r="AH8" s="19">
        <f t="shared" si="8"/>
        <v>5</v>
      </c>
      <c r="AI8" s="19">
        <f t="shared" si="0"/>
        <v>71</v>
      </c>
      <c r="AJ8" s="21">
        <v>0.28699999999999998</v>
      </c>
      <c r="AK8" s="19">
        <f t="shared" si="9"/>
        <v>4.5908362149999993E-2</v>
      </c>
      <c r="AL8" s="19">
        <f t="shared" si="10"/>
        <v>7.6062144082332761</v>
      </c>
      <c r="AM8" s="19">
        <f t="shared" si="11"/>
        <v>258.38429960194088</v>
      </c>
      <c r="AN8" s="19">
        <f t="shared" si="1"/>
        <v>165.68254784130383</v>
      </c>
      <c r="AO8" s="19">
        <f t="shared" si="12"/>
        <v>0.51858353661455059</v>
      </c>
      <c r="AP8" s="19">
        <f t="shared" si="2"/>
        <v>258.38429960194088</v>
      </c>
      <c r="AQ8" s="35"/>
      <c r="AT8" s="10"/>
      <c r="AU8" s="10"/>
      <c r="AV8" s="10"/>
      <c r="AW8" s="10"/>
    </row>
    <row r="9" spans="2:49" x14ac:dyDescent="0.25">
      <c r="B9" s="3" t="s">
        <v>76</v>
      </c>
      <c r="C9" s="5">
        <v>28.3</v>
      </c>
      <c r="D9" s="2">
        <v>16</v>
      </c>
      <c r="E9" s="2">
        <v>16</v>
      </c>
      <c r="F9" s="2">
        <v>16</v>
      </c>
      <c r="G9" s="2">
        <v>20</v>
      </c>
      <c r="H9" s="2">
        <v>9.9</v>
      </c>
      <c r="I9" s="2">
        <v>2</v>
      </c>
      <c r="J9" s="2">
        <v>0</v>
      </c>
      <c r="K9" s="2">
        <v>3</v>
      </c>
      <c r="L9" s="2">
        <v>0</v>
      </c>
      <c r="M9" s="2">
        <v>0</v>
      </c>
      <c r="N9" s="2">
        <v>36.200000000000003</v>
      </c>
      <c r="O9" s="2">
        <v>1400</v>
      </c>
      <c r="P9" s="45">
        <v>0.3263888888888889</v>
      </c>
      <c r="Q9" s="10"/>
      <c r="R9" s="41"/>
      <c r="S9" s="30">
        <f t="shared" si="3"/>
        <v>10.462000000000003</v>
      </c>
      <c r="T9" s="30">
        <v>3</v>
      </c>
      <c r="U9" s="30">
        <f t="shared" si="4"/>
        <v>1.3999999999999986</v>
      </c>
      <c r="V9" s="30">
        <f t="shared" si="13"/>
        <v>1.1598627787307021</v>
      </c>
      <c r="W9" s="30">
        <f t="shared" si="5"/>
        <v>0.24013722126929649</v>
      </c>
      <c r="X9" s="30">
        <f>V9+V8+V7+V6</f>
        <v>5.3850771869639793</v>
      </c>
      <c r="Y9" s="30">
        <f t="shared" si="14"/>
        <v>3.0959228130360206</v>
      </c>
      <c r="Z9" s="30">
        <f t="shared" si="6"/>
        <v>10.7021372212693</v>
      </c>
      <c r="AA9" s="31">
        <f t="shared" si="7"/>
        <v>0.28928079962226799</v>
      </c>
      <c r="AC9" s="18"/>
      <c r="AD9" s="18"/>
      <c r="AE9" s="24"/>
      <c r="AF9" s="25"/>
      <c r="AG9" s="19">
        <v>11</v>
      </c>
      <c r="AH9" s="19">
        <f t="shared" si="8"/>
        <v>1</v>
      </c>
      <c r="AI9" s="19">
        <f t="shared" si="0"/>
        <v>75</v>
      </c>
      <c r="AJ9" s="21">
        <v>0.28699999999999998</v>
      </c>
      <c r="AK9" s="19">
        <f t="shared" si="9"/>
        <v>4.8494748749999997E-2</v>
      </c>
      <c r="AL9" s="19">
        <f t="shared" si="10"/>
        <v>7.3660771869639792</v>
      </c>
      <c r="AM9" s="19">
        <f t="shared" si="11"/>
        <v>215.73469849145272</v>
      </c>
      <c r="AN9" s="19">
        <f t="shared" si="1"/>
        <v>151.89432622772335</v>
      </c>
      <c r="AO9" s="19">
        <f t="shared" si="12"/>
        <v>0.40702544615161856</v>
      </c>
      <c r="AP9" s="19">
        <f t="shared" si="2"/>
        <v>215.73469849145272</v>
      </c>
      <c r="AQ9" s="35"/>
      <c r="AT9" s="10"/>
      <c r="AU9" s="10"/>
      <c r="AV9" s="10"/>
      <c r="AW9" s="10"/>
    </row>
    <row r="10" spans="2:49" x14ac:dyDescent="0.25">
      <c r="B10" s="3" t="s">
        <v>77</v>
      </c>
      <c r="C10" s="5">
        <v>20.3</v>
      </c>
      <c r="D10" s="2">
        <v>17</v>
      </c>
      <c r="E10" s="2">
        <v>17</v>
      </c>
      <c r="F10" s="2">
        <v>17</v>
      </c>
      <c r="G10" s="2">
        <v>20</v>
      </c>
      <c r="H10" s="2">
        <v>5.2</v>
      </c>
      <c r="I10" s="2">
        <v>1</v>
      </c>
      <c r="J10" s="2">
        <v>0</v>
      </c>
      <c r="K10" s="2">
        <v>3</v>
      </c>
      <c r="L10" s="2">
        <v>0</v>
      </c>
      <c r="M10" s="2">
        <v>0</v>
      </c>
      <c r="N10" s="2">
        <v>35.700000000000003</v>
      </c>
      <c r="O10" s="2">
        <v>500</v>
      </c>
      <c r="P10" s="45">
        <v>0.33819444444444446</v>
      </c>
      <c r="Q10" s="10"/>
      <c r="R10" s="41"/>
      <c r="S10" s="30">
        <f t="shared" si="3"/>
        <v>9.9620000000000033</v>
      </c>
      <c r="T10" s="30">
        <v>4</v>
      </c>
      <c r="U10" s="30">
        <f t="shared" si="4"/>
        <v>0.5</v>
      </c>
      <c r="V10" s="30">
        <f t="shared" si="13"/>
        <v>0.41423670668953688</v>
      </c>
      <c r="W10" s="30">
        <f t="shared" si="5"/>
        <v>8.5763293310463118E-2</v>
      </c>
      <c r="X10" s="30">
        <f>V10+V9+V8+V7+V6</f>
        <v>5.7993138936535162</v>
      </c>
      <c r="Y10" s="30">
        <f t="shared" si="14"/>
        <v>2.6816861063464836</v>
      </c>
      <c r="Z10" s="30">
        <f t="shared" si="6"/>
        <v>10.047763293310467</v>
      </c>
      <c r="AA10" s="31">
        <f t="shared" si="7"/>
        <v>0.26689383776903647</v>
      </c>
      <c r="AC10" s="18"/>
      <c r="AD10" s="18"/>
      <c r="AE10" s="24"/>
      <c r="AF10" s="25"/>
      <c r="AG10" s="19">
        <v>12</v>
      </c>
      <c r="AH10" s="19">
        <f t="shared" si="8"/>
        <v>1</v>
      </c>
      <c r="AI10" s="19">
        <f t="shared" si="0"/>
        <v>75</v>
      </c>
      <c r="AJ10" s="21">
        <v>0.28699999999999998</v>
      </c>
      <c r="AK10" s="19">
        <f t="shared" si="9"/>
        <v>4.8494748749999997E-2</v>
      </c>
      <c r="AL10" s="19">
        <f t="shared" si="10"/>
        <v>7.2803138936535161</v>
      </c>
      <c r="AM10" s="19">
        <f t="shared" si="11"/>
        <v>205.42430380155344</v>
      </c>
      <c r="AN10" s="19">
        <f t="shared" si="1"/>
        <v>150.12581941985042</v>
      </c>
      <c r="AO10" s="19">
        <f t="shared" si="12"/>
        <v>0.36405892013897995</v>
      </c>
      <c r="AP10" s="19">
        <f t="shared" si="2"/>
        <v>205.42430380155344</v>
      </c>
      <c r="AQ10" s="35"/>
      <c r="AT10" s="10"/>
      <c r="AU10" s="10"/>
      <c r="AV10" s="10"/>
      <c r="AW10" s="10"/>
    </row>
    <row r="11" spans="2:49" x14ac:dyDescent="0.25">
      <c r="B11" s="3" t="s">
        <v>78</v>
      </c>
      <c r="C11" s="5">
        <v>25.5</v>
      </c>
      <c r="D11" s="2">
        <v>17</v>
      </c>
      <c r="E11" s="2">
        <v>17</v>
      </c>
      <c r="F11" s="2">
        <v>17</v>
      </c>
      <c r="G11" s="2">
        <v>20</v>
      </c>
      <c r="H11" s="2">
        <v>5.3</v>
      </c>
      <c r="I11" s="2">
        <v>0</v>
      </c>
      <c r="J11" s="2">
        <v>0</v>
      </c>
      <c r="K11" s="2">
        <v>3</v>
      </c>
      <c r="L11" s="2">
        <v>0</v>
      </c>
      <c r="M11" s="2">
        <v>0</v>
      </c>
      <c r="N11" s="2">
        <v>35.4</v>
      </c>
      <c r="O11" s="2">
        <v>300</v>
      </c>
      <c r="P11" s="45">
        <v>0.32777777777777778</v>
      </c>
      <c r="Q11" s="10"/>
      <c r="R11" s="41"/>
      <c r="S11" s="30">
        <f t="shared" si="3"/>
        <v>9.661999999999999</v>
      </c>
      <c r="T11" s="30">
        <v>5</v>
      </c>
      <c r="U11" s="30">
        <f t="shared" si="4"/>
        <v>0.30000000000000426</v>
      </c>
      <c r="V11" s="30">
        <f t="shared" si="13"/>
        <v>0.24854202401372566</v>
      </c>
      <c r="W11" s="30">
        <f t="shared" si="5"/>
        <v>5.1457975986278603E-2</v>
      </c>
      <c r="X11" s="30">
        <f>V11+V10+V9+V8+V7+V6</f>
        <v>6.047855917667242</v>
      </c>
      <c r="Y11" s="30">
        <f t="shared" si="14"/>
        <v>2.4331440823327579</v>
      </c>
      <c r="Z11" s="30">
        <f t="shared" si="6"/>
        <v>9.7134579759862785</v>
      </c>
      <c r="AA11" s="31">
        <f t="shared" si="7"/>
        <v>0.25049205837385663</v>
      </c>
      <c r="AC11" s="18"/>
      <c r="AD11" s="18"/>
      <c r="AE11" s="24"/>
      <c r="AF11" s="25"/>
      <c r="AG11" s="19">
        <v>12</v>
      </c>
      <c r="AH11" s="19">
        <f t="shared" si="8"/>
        <v>0</v>
      </c>
      <c r="AI11" s="19">
        <f t="shared" si="0"/>
        <v>76</v>
      </c>
      <c r="AJ11" s="21">
        <v>0.28699999999999998</v>
      </c>
      <c r="AK11" s="19">
        <f t="shared" si="9"/>
        <v>4.9141345399999994E-2</v>
      </c>
      <c r="AL11" s="19">
        <f t="shared" si="10"/>
        <v>7.2288559176672376</v>
      </c>
      <c r="AM11" s="19">
        <f t="shared" si="11"/>
        <v>196.61651347461887</v>
      </c>
      <c r="AN11" s="19">
        <f t="shared" si="1"/>
        <v>147.10333750176972</v>
      </c>
      <c r="AO11" s="19">
        <f t="shared" si="12"/>
        <v>0.33420867807002202</v>
      </c>
      <c r="AP11" s="19">
        <f t="shared" si="2"/>
        <v>196.61651347461887</v>
      </c>
      <c r="AQ11" s="35"/>
      <c r="AT11" s="10"/>
      <c r="AU11" s="10"/>
      <c r="AV11" s="10"/>
      <c r="AW11" s="10"/>
    </row>
    <row r="12" spans="2:49" x14ac:dyDescent="0.25">
      <c r="B12" s="3" t="s">
        <v>79</v>
      </c>
      <c r="C12" s="5">
        <v>24.5</v>
      </c>
      <c r="D12" s="2">
        <v>17</v>
      </c>
      <c r="E12" s="2">
        <v>17</v>
      </c>
      <c r="F12" s="2">
        <v>17</v>
      </c>
      <c r="G12" s="2">
        <v>20</v>
      </c>
      <c r="H12" s="2">
        <v>4</v>
      </c>
      <c r="I12" s="2">
        <v>0</v>
      </c>
      <c r="J12" s="2">
        <v>0</v>
      </c>
      <c r="K12" s="2">
        <v>3</v>
      </c>
      <c r="L12" s="2">
        <v>0</v>
      </c>
      <c r="M12" s="2">
        <v>0</v>
      </c>
      <c r="N12" s="2">
        <v>35</v>
      </c>
      <c r="O12" s="2">
        <v>400</v>
      </c>
      <c r="P12" s="45">
        <v>0.3125</v>
      </c>
      <c r="Q12" s="10"/>
      <c r="R12" s="41"/>
      <c r="S12" s="30">
        <f t="shared" si="3"/>
        <v>9.2620000000000005</v>
      </c>
      <c r="T12" s="30">
        <v>6</v>
      </c>
      <c r="U12" s="30">
        <f t="shared" si="4"/>
        <v>0.39999999999999858</v>
      </c>
      <c r="V12" s="30">
        <f t="shared" si="13"/>
        <v>0.33138936535162833</v>
      </c>
      <c r="W12" s="30">
        <f t="shared" si="5"/>
        <v>6.861063464837025E-2</v>
      </c>
      <c r="X12" s="30">
        <f>V12+V11+V10+V9+V8+V7+V6</f>
        <v>6.3792452830188706</v>
      </c>
      <c r="Y12" s="30">
        <f t="shared" si="14"/>
        <v>2.1017547169811293</v>
      </c>
      <c r="Z12" s="30">
        <f t="shared" si="6"/>
        <v>9.3306106346483713</v>
      </c>
      <c r="AA12" s="31">
        <f t="shared" si="7"/>
        <v>0.22525371589041074</v>
      </c>
      <c r="AC12" s="18"/>
      <c r="AD12" s="18"/>
      <c r="AE12" s="24"/>
      <c r="AF12" s="25"/>
      <c r="AG12" s="19">
        <v>12</v>
      </c>
      <c r="AH12" s="19">
        <f t="shared" si="8"/>
        <v>0</v>
      </c>
      <c r="AI12" s="19">
        <f t="shared" si="0"/>
        <v>76</v>
      </c>
      <c r="AJ12" s="21">
        <v>0.28699999999999998</v>
      </c>
      <c r="AK12" s="19">
        <f t="shared" si="9"/>
        <v>4.9141345399999994E-2</v>
      </c>
      <c r="AL12" s="19">
        <f t="shared" si="10"/>
        <v>7.1602452830188676</v>
      </c>
      <c r="AM12" s="19">
        <f t="shared" si="11"/>
        <v>188.47672819311947</v>
      </c>
      <c r="AN12" s="19">
        <f t="shared" si="1"/>
        <v>145.70714791660686</v>
      </c>
      <c r="AO12" s="19">
        <f t="shared" si="12"/>
        <v>0.29074513877700409</v>
      </c>
      <c r="AP12" s="19">
        <f t="shared" si="2"/>
        <v>188.47672819311947</v>
      </c>
      <c r="AQ12" s="35"/>
      <c r="AT12" s="10"/>
      <c r="AU12" s="10"/>
      <c r="AV12" s="10"/>
      <c r="AW12" s="10"/>
    </row>
    <row r="13" spans="2:49" x14ac:dyDescent="0.25">
      <c r="B13" s="3" t="s">
        <v>80</v>
      </c>
      <c r="C13" s="5">
        <v>24.7</v>
      </c>
      <c r="D13" s="2">
        <v>17</v>
      </c>
      <c r="E13" s="2">
        <v>17</v>
      </c>
      <c r="F13" s="2">
        <v>17</v>
      </c>
      <c r="G13" s="2">
        <v>20</v>
      </c>
      <c r="H13" s="2">
        <v>3.9</v>
      </c>
      <c r="I13" s="2">
        <v>0</v>
      </c>
      <c r="J13" s="2">
        <v>0</v>
      </c>
      <c r="K13" s="2">
        <v>3</v>
      </c>
      <c r="L13" s="2">
        <v>0</v>
      </c>
      <c r="M13" s="2">
        <v>0</v>
      </c>
      <c r="N13" s="2">
        <v>34.700000000000003</v>
      </c>
      <c r="O13" s="2">
        <v>300</v>
      </c>
      <c r="P13" s="45">
        <v>0.32777777777777778</v>
      </c>
      <c r="Q13" s="10"/>
      <c r="R13" s="41"/>
      <c r="S13" s="30">
        <f t="shared" si="3"/>
        <v>8.9620000000000033</v>
      </c>
      <c r="T13" s="30">
        <v>7</v>
      </c>
      <c r="U13" s="30">
        <f t="shared" si="4"/>
        <v>0.29999999999999716</v>
      </c>
      <c r="V13" s="30">
        <f t="shared" si="13"/>
        <v>0.24854202401371978</v>
      </c>
      <c r="W13" s="30">
        <f t="shared" si="5"/>
        <v>5.1457975986277382E-2</v>
      </c>
      <c r="X13" s="30">
        <f>V13+V12+V11+V10+V9+V8+V7+V6</f>
        <v>6.6277873070325901</v>
      </c>
      <c r="Y13" s="30">
        <f t="shared" si="14"/>
        <v>1.8532126929674098</v>
      </c>
      <c r="Z13" s="30">
        <f t="shared" si="6"/>
        <v>9.013457975986281</v>
      </c>
      <c r="AA13" s="31">
        <f t="shared" si="7"/>
        <v>0.20560507386895821</v>
      </c>
      <c r="AC13" s="18"/>
      <c r="AD13" s="18"/>
      <c r="AE13" s="24"/>
      <c r="AF13" s="25"/>
      <c r="AG13" s="19">
        <v>12</v>
      </c>
      <c r="AH13" s="19">
        <f t="shared" si="8"/>
        <v>0</v>
      </c>
      <c r="AI13" s="19">
        <f t="shared" si="0"/>
        <v>76</v>
      </c>
      <c r="AJ13" s="21">
        <v>0.28699999999999998</v>
      </c>
      <c r="AK13" s="19">
        <f t="shared" si="9"/>
        <v>4.9141345399999994E-2</v>
      </c>
      <c r="AL13" s="19">
        <f t="shared" si="10"/>
        <v>7.10878730703259</v>
      </c>
      <c r="AM13" s="19">
        <f t="shared" si="11"/>
        <v>182.37188923199494</v>
      </c>
      <c r="AN13" s="19">
        <f t="shared" si="1"/>
        <v>144.66000572773473</v>
      </c>
      <c r="AO13" s="19">
        <f t="shared" si="12"/>
        <v>0.25881972191126762</v>
      </c>
      <c r="AP13" s="19">
        <f t="shared" si="2"/>
        <v>182.37188923199494</v>
      </c>
      <c r="AQ13" s="35"/>
      <c r="AT13" s="10"/>
      <c r="AU13" s="10"/>
      <c r="AV13" s="10"/>
      <c r="AW13" s="10"/>
    </row>
    <row r="14" spans="2:49" x14ac:dyDescent="0.25">
      <c r="B14" s="3" t="s">
        <v>81</v>
      </c>
      <c r="C14" s="5">
        <v>28</v>
      </c>
      <c r="D14" s="2">
        <v>17</v>
      </c>
      <c r="E14" s="2">
        <v>17</v>
      </c>
      <c r="F14" s="2">
        <v>17</v>
      </c>
      <c r="G14" s="2">
        <v>20</v>
      </c>
      <c r="H14" s="2">
        <v>4.3</v>
      </c>
      <c r="I14" s="2">
        <v>1</v>
      </c>
      <c r="J14" s="2">
        <v>0</v>
      </c>
      <c r="K14" s="2">
        <v>3</v>
      </c>
      <c r="L14" s="2">
        <v>0</v>
      </c>
      <c r="M14" s="2">
        <v>0</v>
      </c>
      <c r="N14" s="2">
        <v>34.5</v>
      </c>
      <c r="O14" s="2">
        <v>200</v>
      </c>
      <c r="P14" s="45">
        <v>0.32361111111111113</v>
      </c>
      <c r="Q14" s="10"/>
      <c r="R14" s="41"/>
      <c r="S14" s="30">
        <f t="shared" si="3"/>
        <v>8.7620000000000005</v>
      </c>
      <c r="T14" s="30">
        <v>8</v>
      </c>
      <c r="U14" s="30">
        <f t="shared" si="4"/>
        <v>0.20000000000000284</v>
      </c>
      <c r="V14" s="30">
        <f t="shared" si="13"/>
        <v>0.16569468267581711</v>
      </c>
      <c r="W14" s="30">
        <f t="shared" si="5"/>
        <v>3.4305317324185736E-2</v>
      </c>
      <c r="X14" s="30">
        <f>V14+V13+V12+V11+V10+V9+V8+V7+V6</f>
        <v>6.7934819897084067</v>
      </c>
      <c r="Y14" s="30">
        <f t="shared" si="14"/>
        <v>1.6875180102915932</v>
      </c>
      <c r="Z14" s="30">
        <f t="shared" si="6"/>
        <v>8.7963053173241867</v>
      </c>
      <c r="AA14" s="31">
        <f t="shared" si="7"/>
        <v>0.19184395600367038</v>
      </c>
      <c r="AC14" s="18"/>
      <c r="AD14" s="18"/>
      <c r="AE14" s="24"/>
      <c r="AF14" s="25"/>
      <c r="AG14" s="19">
        <v>12</v>
      </c>
      <c r="AH14" s="19">
        <f t="shared" si="8"/>
        <v>0</v>
      </c>
      <c r="AI14" s="19">
        <f t="shared" si="0"/>
        <v>76</v>
      </c>
      <c r="AJ14" s="21">
        <v>0.28699999999999998</v>
      </c>
      <c r="AK14" s="19">
        <f t="shared" si="9"/>
        <v>4.9141345399999994E-2</v>
      </c>
      <c r="AL14" s="19">
        <f t="shared" si="10"/>
        <v>7.0744819897084046</v>
      </c>
      <c r="AM14" s="19">
        <f t="shared" si="11"/>
        <v>178.30199659124517</v>
      </c>
      <c r="AN14" s="19">
        <f t="shared" si="1"/>
        <v>143.9619109351533</v>
      </c>
      <c r="AO14" s="19">
        <f t="shared" si="12"/>
        <v>0.23738479397493895</v>
      </c>
      <c r="AP14" s="19">
        <f t="shared" si="2"/>
        <v>178.30199659124517</v>
      </c>
      <c r="AQ14" s="35"/>
      <c r="AT14" s="10"/>
      <c r="AU14" s="10"/>
      <c r="AV14" s="10"/>
      <c r="AW14" s="10"/>
    </row>
    <row r="15" spans="2:49" x14ac:dyDescent="0.25">
      <c r="B15" s="3" t="s">
        <v>82</v>
      </c>
      <c r="C15" s="5">
        <v>25.5</v>
      </c>
      <c r="D15" s="2">
        <v>17</v>
      </c>
      <c r="E15" s="2">
        <v>17</v>
      </c>
      <c r="F15" s="2">
        <v>17</v>
      </c>
      <c r="G15" s="2">
        <v>20</v>
      </c>
      <c r="H15" s="2">
        <v>4.9000000000000004</v>
      </c>
      <c r="I15" s="2">
        <v>1</v>
      </c>
      <c r="J15" s="2">
        <v>0</v>
      </c>
      <c r="K15" s="2">
        <v>3</v>
      </c>
      <c r="L15" s="2">
        <v>0</v>
      </c>
      <c r="M15" s="2">
        <v>0</v>
      </c>
      <c r="N15" s="2">
        <v>34.299999999999997</v>
      </c>
      <c r="O15" s="2">
        <v>200</v>
      </c>
      <c r="P15" s="45">
        <v>0.31736111111111115</v>
      </c>
      <c r="Q15" s="10"/>
      <c r="R15" s="41"/>
      <c r="S15" s="30">
        <f t="shared" si="3"/>
        <v>8.5619999999999976</v>
      </c>
      <c r="T15" s="30">
        <v>9</v>
      </c>
      <c r="U15" s="30">
        <f t="shared" si="4"/>
        <v>0.20000000000000284</v>
      </c>
      <c r="V15" s="30">
        <f t="shared" si="13"/>
        <v>0.16569468267581711</v>
      </c>
      <c r="W15" s="30">
        <f t="shared" si="5"/>
        <v>3.4305317324185736E-2</v>
      </c>
      <c r="X15" s="30">
        <f>V15+V14+V13+V12+V11+V10+V9+V8+V7+V6</f>
        <v>6.9591766723842241</v>
      </c>
      <c r="Y15" s="30">
        <f t="shared" si="14"/>
        <v>1.5218233276157758</v>
      </c>
      <c r="Z15" s="30">
        <f t="shared" si="6"/>
        <v>8.5963053173241839</v>
      </c>
      <c r="AA15" s="31">
        <f t="shared" si="7"/>
        <v>0.17703225646823367</v>
      </c>
      <c r="AC15" s="18"/>
      <c r="AD15" s="18"/>
      <c r="AE15" s="24"/>
      <c r="AF15" s="25"/>
      <c r="AG15" s="19">
        <v>12</v>
      </c>
      <c r="AH15" s="19">
        <f t="shared" si="8"/>
        <v>0</v>
      </c>
      <c r="AI15" s="19">
        <f t="shared" si="0"/>
        <v>76</v>
      </c>
      <c r="AJ15" s="21">
        <v>0.28699999999999998</v>
      </c>
      <c r="AK15" s="19">
        <f t="shared" si="9"/>
        <v>4.9141345399999994E-2</v>
      </c>
      <c r="AL15" s="19">
        <f t="shared" si="10"/>
        <v>7.0401766723842192</v>
      </c>
      <c r="AM15" s="19">
        <f t="shared" si="11"/>
        <v>174.2321039504954</v>
      </c>
      <c r="AN15" s="19">
        <f t="shared" si="1"/>
        <v>143.26381614257187</v>
      </c>
      <c r="AO15" s="19">
        <f t="shared" si="12"/>
        <v>0.21511445358538558</v>
      </c>
      <c r="AP15" s="19">
        <f t="shared" si="2"/>
        <v>174.2321039504954</v>
      </c>
      <c r="AQ15" s="35"/>
      <c r="AT15" s="10"/>
      <c r="AU15" s="10"/>
      <c r="AV15" s="10"/>
      <c r="AW15" s="10"/>
    </row>
    <row r="16" spans="2:49" x14ac:dyDescent="0.25">
      <c r="B16" s="3" t="s">
        <v>83</v>
      </c>
      <c r="C16" s="5">
        <v>24.1</v>
      </c>
      <c r="D16" s="2">
        <v>17</v>
      </c>
      <c r="E16" s="2">
        <v>17</v>
      </c>
      <c r="F16" s="2">
        <v>17</v>
      </c>
      <c r="G16" s="2">
        <v>20</v>
      </c>
      <c r="H16" s="2">
        <v>4.2</v>
      </c>
      <c r="I16" s="2">
        <v>1</v>
      </c>
      <c r="J16" s="2">
        <v>0</v>
      </c>
      <c r="K16" s="2">
        <v>3</v>
      </c>
      <c r="L16" s="2">
        <v>0</v>
      </c>
      <c r="M16" s="2">
        <v>0</v>
      </c>
      <c r="N16" s="2">
        <v>34.1</v>
      </c>
      <c r="O16" s="2">
        <v>200</v>
      </c>
      <c r="P16" s="45">
        <v>0.32708333333333334</v>
      </c>
      <c r="Q16" s="10"/>
      <c r="R16" s="41"/>
      <c r="S16" s="30">
        <f t="shared" si="3"/>
        <v>8.3620000000000019</v>
      </c>
      <c r="T16" s="30">
        <v>10</v>
      </c>
      <c r="U16" s="30">
        <f t="shared" si="4"/>
        <v>0.19999999999999574</v>
      </c>
      <c r="V16" s="30">
        <f t="shared" si="13"/>
        <v>0.16569468267581122</v>
      </c>
      <c r="W16" s="30">
        <f t="shared" si="5"/>
        <v>3.4305317324184514E-2</v>
      </c>
      <c r="X16" s="30">
        <f>V16+V15+V14+V13+V12+V11+V10+V9+V8+V7+V6</f>
        <v>7.1248713550600353</v>
      </c>
      <c r="Y16" s="30">
        <f t="shared" si="14"/>
        <v>1.3561286449399645</v>
      </c>
      <c r="Z16" s="30">
        <f t="shared" si="6"/>
        <v>8.3963053173241864</v>
      </c>
      <c r="AA16" s="31">
        <f t="shared" si="7"/>
        <v>0.16151492754102806</v>
      </c>
      <c r="AC16" s="18"/>
      <c r="AD16" s="18"/>
      <c r="AE16" s="24"/>
      <c r="AF16" s="25"/>
      <c r="AG16" s="19">
        <v>12</v>
      </c>
      <c r="AH16" s="19">
        <f t="shared" si="8"/>
        <v>0</v>
      </c>
      <c r="AI16" s="19">
        <f t="shared" si="0"/>
        <v>76</v>
      </c>
      <c r="AJ16" s="21">
        <v>0.28699999999999998</v>
      </c>
      <c r="AK16" s="19">
        <f t="shared" si="9"/>
        <v>4.9141345399999994E-2</v>
      </c>
      <c r="AL16" s="19">
        <f t="shared" si="10"/>
        <v>7.0058713550600347</v>
      </c>
      <c r="AM16" s="19">
        <f t="shared" si="11"/>
        <v>170.16221130974577</v>
      </c>
      <c r="AN16" s="19">
        <f t="shared" si="1"/>
        <v>142.56572134999047</v>
      </c>
      <c r="AO16" s="19">
        <f t="shared" si="12"/>
        <v>0.19262707571807269</v>
      </c>
      <c r="AP16" s="19">
        <f t="shared" si="2"/>
        <v>170.16221130974577</v>
      </c>
      <c r="AQ16" s="35"/>
      <c r="AT16" s="10"/>
      <c r="AU16" s="10"/>
      <c r="AV16" s="10"/>
      <c r="AW16" s="10"/>
    </row>
    <row r="17" spans="2:49" x14ac:dyDescent="0.25">
      <c r="B17" s="6" t="s">
        <v>84</v>
      </c>
      <c r="C17" s="5">
        <v>29.4</v>
      </c>
      <c r="D17" s="2">
        <v>17</v>
      </c>
      <c r="E17" s="2">
        <v>17</v>
      </c>
      <c r="F17" s="2">
        <v>17</v>
      </c>
      <c r="G17" s="2">
        <v>20</v>
      </c>
      <c r="H17" s="2">
        <v>8.6999999999999993</v>
      </c>
      <c r="I17" s="2">
        <v>10</v>
      </c>
      <c r="J17" s="2">
        <v>0</v>
      </c>
      <c r="K17" s="2">
        <v>3</v>
      </c>
      <c r="L17" s="2">
        <v>0</v>
      </c>
      <c r="M17" s="2">
        <v>0</v>
      </c>
      <c r="N17" s="2">
        <v>33.9</v>
      </c>
      <c r="O17" s="2">
        <v>200</v>
      </c>
      <c r="P17" s="45">
        <v>0.33194444444444443</v>
      </c>
      <c r="Q17" s="10"/>
      <c r="R17" s="41"/>
      <c r="S17" s="30">
        <f t="shared" si="3"/>
        <v>8.161999999999999</v>
      </c>
      <c r="T17" s="30">
        <v>11</v>
      </c>
      <c r="U17" s="30">
        <f t="shared" si="4"/>
        <v>0.20000000000000284</v>
      </c>
      <c r="V17" s="30">
        <f t="shared" si="13"/>
        <v>0.16569468267581711</v>
      </c>
      <c r="W17" s="30">
        <f t="shared" si="5"/>
        <v>3.4305317324185736E-2</v>
      </c>
      <c r="X17" s="30">
        <f>V17+V16+V15+V14+V13+V12+V11+V10+V9+V8+V7+V6</f>
        <v>7.2905660377358528</v>
      </c>
      <c r="Y17" s="30">
        <f t="shared" si="14"/>
        <v>1.1904339622641471</v>
      </c>
      <c r="Z17" s="30">
        <f t="shared" si="6"/>
        <v>8.1963053173241853</v>
      </c>
      <c r="AA17" s="31">
        <f t="shared" si="7"/>
        <v>0.1452403145290326</v>
      </c>
      <c r="AC17" s="18"/>
      <c r="AD17" s="18"/>
      <c r="AE17" s="24"/>
      <c r="AF17" s="25"/>
      <c r="AG17" s="19">
        <v>12</v>
      </c>
      <c r="AH17" s="19">
        <f t="shared" si="8"/>
        <v>0</v>
      </c>
      <c r="AI17" s="19">
        <f t="shared" si="0"/>
        <v>76</v>
      </c>
      <c r="AJ17" s="21">
        <v>0.28699999999999998</v>
      </c>
      <c r="AK17" s="19">
        <f t="shared" si="9"/>
        <v>4.9141345399999994E-2</v>
      </c>
      <c r="AL17" s="19">
        <f t="shared" si="10"/>
        <v>6.9715660377358493</v>
      </c>
      <c r="AM17" s="19">
        <f t="shared" si="11"/>
        <v>166.09231866899597</v>
      </c>
      <c r="AN17" s="19">
        <f t="shared" si="1"/>
        <v>141.86762655740904</v>
      </c>
      <c r="AO17" s="19">
        <f t="shared" si="12"/>
        <v>0.16991947210168912</v>
      </c>
      <c r="AP17" s="19">
        <f t="shared" si="2"/>
        <v>166.09231866899597</v>
      </c>
      <c r="AQ17" s="35"/>
      <c r="AT17" s="10"/>
      <c r="AU17" s="10"/>
      <c r="AV17" s="10"/>
      <c r="AW17" s="10"/>
    </row>
    <row r="18" spans="2:49" x14ac:dyDescent="0.25">
      <c r="B18" s="3" t="s">
        <v>85</v>
      </c>
      <c r="C18" s="5">
        <v>27.9</v>
      </c>
      <c r="D18" s="2">
        <v>17</v>
      </c>
      <c r="E18" s="2">
        <v>17</v>
      </c>
      <c r="F18" s="2">
        <v>17</v>
      </c>
      <c r="G18" s="2">
        <v>20</v>
      </c>
      <c r="H18" s="2">
        <v>9.1</v>
      </c>
      <c r="I18" s="2">
        <v>11</v>
      </c>
      <c r="J18" s="2">
        <v>0</v>
      </c>
      <c r="K18" s="2">
        <v>3</v>
      </c>
      <c r="L18" s="2">
        <v>0</v>
      </c>
      <c r="M18" s="2">
        <v>0</v>
      </c>
      <c r="N18" s="2">
        <v>33.799999999999997</v>
      </c>
      <c r="O18" s="2">
        <v>100</v>
      </c>
      <c r="P18" s="45">
        <v>0.3263888888888889</v>
      </c>
      <c r="Q18" s="10"/>
      <c r="R18" s="41"/>
      <c r="S18" s="30">
        <f t="shared" si="3"/>
        <v>8.0619999999999976</v>
      </c>
      <c r="T18" s="30">
        <v>12</v>
      </c>
      <c r="U18" s="30">
        <f t="shared" si="4"/>
        <v>0.10000000000000142</v>
      </c>
      <c r="V18" s="30">
        <f t="shared" si="13"/>
        <v>8.2847341337908553E-2</v>
      </c>
      <c r="W18" s="30">
        <f t="shared" si="5"/>
        <v>1.7152658662092868E-2</v>
      </c>
      <c r="X18" s="30">
        <f>V18+V17+V16+V15+V14+V13+V12+V11+V10+V9+V8+V7+V6</f>
        <v>7.373413379073761</v>
      </c>
      <c r="Y18" s="30">
        <f t="shared" si="14"/>
        <v>1.1075866209262388</v>
      </c>
      <c r="Z18" s="30">
        <f t="shared" si="6"/>
        <v>8.0791526586620908</v>
      </c>
      <c r="AA18" s="31">
        <f t="shared" si="7"/>
        <v>0.13709192878522181</v>
      </c>
      <c r="AC18" s="18"/>
      <c r="AD18" s="18"/>
      <c r="AE18" s="24"/>
      <c r="AF18" s="25"/>
      <c r="AG18" s="19">
        <v>12</v>
      </c>
      <c r="AH18" s="19">
        <f t="shared" si="8"/>
        <v>0</v>
      </c>
      <c r="AI18" s="19">
        <f t="shared" si="0"/>
        <v>76</v>
      </c>
      <c r="AJ18" s="21">
        <v>0.28699999999999998</v>
      </c>
      <c r="AK18" s="19">
        <f t="shared" si="9"/>
        <v>4.9141345399999994E-2</v>
      </c>
      <c r="AL18" s="19">
        <f t="shared" si="10"/>
        <v>6.9544133790737561</v>
      </c>
      <c r="AM18" s="19">
        <f t="shared" si="11"/>
        <v>164.0573723486211</v>
      </c>
      <c r="AN18" s="19">
        <f t="shared" si="1"/>
        <v>141.51857916111831</v>
      </c>
      <c r="AO18" s="19">
        <f t="shared" si="12"/>
        <v>0.15887199732901741</v>
      </c>
      <c r="AP18" s="19">
        <f t="shared" si="2"/>
        <v>164.0573723486211</v>
      </c>
      <c r="AQ18" s="35"/>
      <c r="AT18" s="10"/>
      <c r="AU18" s="10"/>
      <c r="AV18" s="10"/>
      <c r="AW18" s="10"/>
    </row>
    <row r="19" spans="2:49" x14ac:dyDescent="0.25">
      <c r="B19" s="3" t="s">
        <v>86</v>
      </c>
      <c r="C19" s="5">
        <v>30</v>
      </c>
      <c r="D19" s="2">
        <v>17</v>
      </c>
      <c r="E19" s="2">
        <v>17</v>
      </c>
      <c r="F19" s="2">
        <v>17</v>
      </c>
      <c r="G19" s="2">
        <v>20</v>
      </c>
      <c r="H19" s="2">
        <v>11.8</v>
      </c>
      <c r="I19" s="2">
        <v>14</v>
      </c>
      <c r="J19" s="2">
        <v>0</v>
      </c>
      <c r="K19" s="2">
        <v>3</v>
      </c>
      <c r="L19" s="2">
        <v>0</v>
      </c>
      <c r="M19" s="2">
        <v>0</v>
      </c>
      <c r="N19" s="2">
        <v>33.700000000000003</v>
      </c>
      <c r="O19" s="2">
        <v>100</v>
      </c>
      <c r="P19" s="45">
        <v>0.31875000000000003</v>
      </c>
      <c r="Q19" s="10"/>
      <c r="R19" s="41"/>
      <c r="S19" s="30">
        <f t="shared" si="3"/>
        <v>7.9620000000000033</v>
      </c>
      <c r="T19" s="30">
        <v>13</v>
      </c>
      <c r="U19" s="30">
        <f t="shared" si="4"/>
        <v>9.9999999999994316E-2</v>
      </c>
      <c r="V19" s="30">
        <f t="shared" si="13"/>
        <v>8.2847341337902669E-2</v>
      </c>
      <c r="W19" s="30">
        <f t="shared" si="5"/>
        <v>1.7152658662091647E-2</v>
      </c>
      <c r="X19" s="30">
        <f>V19+V18+V17+V16+V15+V14+V13+V12+V11+V10+V9+V8+V7+V6</f>
        <v>7.456260720411664</v>
      </c>
      <c r="Y19" s="30">
        <f t="shared" si="14"/>
        <v>1.0247392795883359</v>
      </c>
      <c r="Z19" s="30">
        <f t="shared" si="6"/>
        <v>7.9791526586620947</v>
      </c>
      <c r="AA19" s="31">
        <f t="shared" si="7"/>
        <v>0.12842708034616787</v>
      </c>
      <c r="AC19" s="18"/>
      <c r="AD19" s="18"/>
      <c r="AG19" s="19">
        <v>12</v>
      </c>
      <c r="AH19" s="19">
        <f t="shared" si="8"/>
        <v>0</v>
      </c>
      <c r="AI19" s="19">
        <f t="shared" si="0"/>
        <v>76</v>
      </c>
      <c r="AJ19" s="21">
        <v>0.28699999999999998</v>
      </c>
      <c r="AK19" s="19">
        <f t="shared" si="9"/>
        <v>4.9141345399999994E-2</v>
      </c>
      <c r="AL19" s="19">
        <f t="shared" si="10"/>
        <v>6.9372607204116647</v>
      </c>
      <c r="AM19" s="19">
        <f t="shared" si="11"/>
        <v>162.02242602824634</v>
      </c>
      <c r="AN19" s="19">
        <f t="shared" si="1"/>
        <v>141.16953176482761</v>
      </c>
      <c r="AO19" s="19">
        <f t="shared" si="12"/>
        <v>0.1473509300830228</v>
      </c>
      <c r="AP19" s="19">
        <f t="shared" si="2"/>
        <v>162.02242602824634</v>
      </c>
      <c r="AQ19" s="35"/>
      <c r="AT19" s="10"/>
      <c r="AU19" s="10"/>
      <c r="AV19" s="10"/>
      <c r="AW19" s="10"/>
    </row>
    <row r="20" spans="2:49" x14ac:dyDescent="0.25">
      <c r="B20" s="3" t="s">
        <v>87</v>
      </c>
      <c r="C20" s="5">
        <v>34.200000000000003</v>
      </c>
      <c r="D20" s="2">
        <v>17</v>
      </c>
      <c r="E20" s="2">
        <v>17</v>
      </c>
      <c r="F20" s="2">
        <v>17</v>
      </c>
      <c r="G20" s="2">
        <v>20</v>
      </c>
      <c r="H20" s="2">
        <v>4.4000000000000004</v>
      </c>
      <c r="I20" s="2">
        <v>1</v>
      </c>
      <c r="J20" s="2">
        <v>0</v>
      </c>
      <c r="K20" s="2">
        <v>2.9</v>
      </c>
      <c r="L20" s="2">
        <v>0</v>
      </c>
      <c r="M20" s="2">
        <v>0</v>
      </c>
      <c r="N20" s="2">
        <v>33.5</v>
      </c>
      <c r="O20" s="2">
        <v>200</v>
      </c>
      <c r="P20" s="45">
        <v>0.32083333333333336</v>
      </c>
      <c r="Q20" s="39"/>
      <c r="R20" s="41"/>
      <c r="S20" s="30">
        <f t="shared" si="3"/>
        <v>7.7620000000000005</v>
      </c>
      <c r="T20" s="30">
        <v>14</v>
      </c>
      <c r="U20" s="30">
        <f t="shared" si="4"/>
        <v>0.20000000000000284</v>
      </c>
      <c r="V20" s="30">
        <f t="shared" si="13"/>
        <v>0.16569468267581711</v>
      </c>
      <c r="W20" s="30">
        <f t="shared" si="5"/>
        <v>3.4305317324185736E-2</v>
      </c>
      <c r="X20" s="30">
        <f>V20+V19+V18+V17+V16+V15+V14+V13+V12+V11+V10+V9+V8+V7+V6</f>
        <v>7.6219554030874805</v>
      </c>
      <c r="Y20" s="30">
        <f t="shared" si="14"/>
        <v>0.85904459691251933</v>
      </c>
      <c r="Z20" s="30">
        <f t="shared" si="6"/>
        <v>7.7963053173241859</v>
      </c>
      <c r="AA20" s="31">
        <f t="shared" si="7"/>
        <v>0.11018611533897148</v>
      </c>
      <c r="AG20" s="19">
        <v>12</v>
      </c>
      <c r="AH20" s="19">
        <f t="shared" si="8"/>
        <v>0</v>
      </c>
      <c r="AI20" s="19">
        <f t="shared" si="0"/>
        <v>76</v>
      </c>
      <c r="AJ20" s="21">
        <v>1.2869999999999999</v>
      </c>
      <c r="AK20" s="19">
        <f t="shared" si="9"/>
        <v>4.9141345399999994E-2</v>
      </c>
      <c r="AL20" s="19">
        <f t="shared" si="10"/>
        <v>6.9029554030874793</v>
      </c>
      <c r="AM20" s="19">
        <f t="shared" si="11"/>
        <v>157.95253338749657</v>
      </c>
      <c r="AN20" s="19">
        <f t="shared" si="1"/>
        <v>140.47143697224618</v>
      </c>
      <c r="AO20" s="19">
        <f t="shared" si="12"/>
        <v>0.1238305192112691</v>
      </c>
      <c r="AP20" s="19">
        <f t="shared" si="2"/>
        <v>157.95253338749657</v>
      </c>
      <c r="AQ20" s="35"/>
      <c r="AT20" s="10"/>
      <c r="AU20" s="10"/>
      <c r="AV20" s="10"/>
    </row>
    <row r="21" spans="2:49" x14ac:dyDescent="0.25">
      <c r="B21" s="3" t="s">
        <v>88</v>
      </c>
      <c r="C21" s="5">
        <v>30.6</v>
      </c>
      <c r="D21" s="2">
        <v>17</v>
      </c>
      <c r="E21" s="2">
        <v>17</v>
      </c>
      <c r="F21" s="2">
        <v>17</v>
      </c>
      <c r="G21" s="2">
        <v>20</v>
      </c>
      <c r="H21" s="2">
        <v>4.0999999999999996</v>
      </c>
      <c r="I21" s="2">
        <v>1</v>
      </c>
      <c r="J21" s="2">
        <v>0</v>
      </c>
      <c r="K21" s="2">
        <v>3</v>
      </c>
      <c r="L21" s="2">
        <v>0</v>
      </c>
      <c r="M21" s="2">
        <v>0</v>
      </c>
      <c r="N21" s="2">
        <v>33.4</v>
      </c>
      <c r="O21" s="2">
        <v>100</v>
      </c>
      <c r="P21" s="45">
        <v>0.31944444444444448</v>
      </c>
      <c r="Q21" s="10"/>
      <c r="R21" s="42"/>
      <c r="S21" s="30">
        <f t="shared" si="3"/>
        <v>7.661999999999999</v>
      </c>
      <c r="T21" s="30">
        <v>15</v>
      </c>
      <c r="U21" s="30">
        <f t="shared" si="4"/>
        <v>0.10000000000000142</v>
      </c>
      <c r="V21" s="30">
        <f t="shared" si="13"/>
        <v>8.2847341337908553E-2</v>
      </c>
      <c r="W21" s="30">
        <f t="shared" si="5"/>
        <v>1.7152658662092868E-2</v>
      </c>
      <c r="X21" s="30">
        <f>V21+V20+V19+V18+V17+V16+V15+V14+V13+V12+V11+V10+V9+V8+V7+V6</f>
        <v>7.7048027444253888</v>
      </c>
      <c r="Y21" s="30">
        <f t="shared" si="14"/>
        <v>0.77619725557461106</v>
      </c>
      <c r="Z21" s="30">
        <f t="shared" si="6"/>
        <v>7.6791526586620922</v>
      </c>
      <c r="AA21" s="31">
        <f t="shared" si="7"/>
        <v>0.1010785030688327</v>
      </c>
      <c r="AG21" s="19">
        <v>12</v>
      </c>
      <c r="AH21" s="19">
        <f t="shared" si="8"/>
        <v>0</v>
      </c>
      <c r="AI21" s="19">
        <f t="shared" si="0"/>
        <v>76</v>
      </c>
      <c r="AJ21" s="21">
        <v>2.2869999999999999</v>
      </c>
      <c r="AK21" s="19">
        <f t="shared" si="9"/>
        <v>4.9141345399999994E-2</v>
      </c>
      <c r="AL21" s="19">
        <f t="shared" si="10"/>
        <v>6.8858027444253862</v>
      </c>
      <c r="AM21" s="19">
        <f t="shared" si="11"/>
        <v>155.9175870671217</v>
      </c>
      <c r="AN21" s="19">
        <f t="shared" si="1"/>
        <v>140.12238957595545</v>
      </c>
      <c r="AO21" s="19">
        <f t="shared" si="12"/>
        <v>0.11244419386331857</v>
      </c>
      <c r="AP21" s="19">
        <f t="shared" si="2"/>
        <v>155.9175870671217</v>
      </c>
      <c r="AQ21" s="35"/>
      <c r="AT21" s="10"/>
      <c r="AU21" s="10"/>
      <c r="AV21" s="10"/>
    </row>
    <row r="22" spans="2:49" x14ac:dyDescent="0.25">
      <c r="B22" s="3" t="s">
        <v>89</v>
      </c>
      <c r="C22" s="5">
        <v>30</v>
      </c>
      <c r="D22" s="2">
        <v>17</v>
      </c>
      <c r="E22" s="2">
        <v>17</v>
      </c>
      <c r="F22" s="2">
        <v>17</v>
      </c>
      <c r="G22" s="2">
        <v>20</v>
      </c>
      <c r="H22" s="2">
        <v>4.2</v>
      </c>
      <c r="I22" s="2">
        <v>1</v>
      </c>
      <c r="J22" s="2">
        <v>0</v>
      </c>
      <c r="K22" s="2">
        <v>3</v>
      </c>
      <c r="L22" s="2">
        <v>0</v>
      </c>
      <c r="M22" s="2">
        <v>0</v>
      </c>
      <c r="N22" s="2">
        <v>33.299999999999997</v>
      </c>
      <c r="O22" s="2">
        <v>100</v>
      </c>
      <c r="P22" s="45">
        <v>0.3215277777777778</v>
      </c>
      <c r="Q22" s="10"/>
      <c r="R22" s="42"/>
      <c r="S22" s="30">
        <f t="shared" si="3"/>
        <v>7.5619999999999976</v>
      </c>
      <c r="T22" s="30">
        <v>16</v>
      </c>
      <c r="U22" s="30">
        <f t="shared" si="4"/>
        <v>0.10000000000000142</v>
      </c>
      <c r="V22" s="30">
        <f t="shared" si="13"/>
        <v>8.2847341337908553E-2</v>
      </c>
      <c r="W22" s="30">
        <f t="shared" si="5"/>
        <v>1.7152658662092868E-2</v>
      </c>
      <c r="X22" s="30">
        <f>V22+V21+V20+V19+V18+V17+V16+V15+V14+V13+V12+V11+V10+V9+V8+V7+V6</f>
        <v>7.787650085763298</v>
      </c>
      <c r="Y22" s="30">
        <f t="shared" si="14"/>
        <v>0.69334991423670189</v>
      </c>
      <c r="Z22" s="30">
        <f t="shared" si="6"/>
        <v>7.5791526586620908</v>
      </c>
      <c r="AA22" s="31">
        <f t="shared" si="7"/>
        <v>9.1481191297061878E-2</v>
      </c>
      <c r="AG22" s="19">
        <v>12</v>
      </c>
      <c r="AH22" s="19">
        <f t="shared" si="8"/>
        <v>0</v>
      </c>
      <c r="AI22" s="19">
        <f t="shared" si="0"/>
        <v>76</v>
      </c>
      <c r="AJ22" s="21">
        <v>3.2869999999999999</v>
      </c>
      <c r="AK22" s="19">
        <f t="shared" si="9"/>
        <v>4.9141345399999994E-2</v>
      </c>
      <c r="AL22" s="19">
        <f t="shared" si="10"/>
        <v>6.8686500857632931</v>
      </c>
      <c r="AM22" s="19">
        <f t="shared" si="11"/>
        <v>153.8826407467468</v>
      </c>
      <c r="AN22" s="19">
        <f t="shared" si="1"/>
        <v>139.77334217966475</v>
      </c>
      <c r="AO22" s="19">
        <f t="shared" si="12"/>
        <v>0.10069267737854158</v>
      </c>
      <c r="AP22" s="19">
        <f t="shared" si="2"/>
        <v>153.8826407467468</v>
      </c>
      <c r="AQ22" s="35"/>
      <c r="AT22" s="10"/>
      <c r="AU22" s="10"/>
      <c r="AV22" s="10"/>
    </row>
    <row r="23" spans="2:49" x14ac:dyDescent="0.25">
      <c r="B23" s="3" t="s">
        <v>90</v>
      </c>
      <c r="C23" s="5">
        <v>29.2</v>
      </c>
      <c r="D23" s="2">
        <v>17</v>
      </c>
      <c r="E23" s="2">
        <v>17</v>
      </c>
      <c r="F23" s="2">
        <v>17</v>
      </c>
      <c r="G23" s="2">
        <v>20</v>
      </c>
      <c r="H23" s="2">
        <v>3</v>
      </c>
      <c r="I23" s="2">
        <v>0</v>
      </c>
      <c r="J23" s="2">
        <v>0</v>
      </c>
      <c r="K23" s="2">
        <v>3</v>
      </c>
      <c r="L23" s="2">
        <v>0</v>
      </c>
      <c r="M23" s="2">
        <v>0</v>
      </c>
      <c r="N23" s="2">
        <v>33.299999999999997</v>
      </c>
      <c r="O23" s="2">
        <f t="shared" ref="O23:O26" si="15">N22-N23</f>
        <v>0</v>
      </c>
      <c r="P23" s="45">
        <v>0.33333333333333331</v>
      </c>
      <c r="Q23" s="10"/>
      <c r="R23" s="42"/>
      <c r="S23" s="30">
        <f t="shared" si="3"/>
        <v>7.5619999999999976</v>
      </c>
      <c r="T23" s="30">
        <v>17</v>
      </c>
      <c r="U23" s="30">
        <f t="shared" si="4"/>
        <v>0</v>
      </c>
      <c r="V23" s="30">
        <f t="shared" si="13"/>
        <v>0</v>
      </c>
      <c r="W23" s="30">
        <f t="shared" si="5"/>
        <v>0</v>
      </c>
      <c r="X23" s="30">
        <f>V23+V22+V21+V20+V19+V18+V17+V16+V15+V14+V13+V12+V11+V10+V9+V8+V7+V6</f>
        <v>7.787650085763298</v>
      </c>
      <c r="Y23" s="30">
        <f t="shared" si="14"/>
        <v>0.69334991423670189</v>
      </c>
      <c r="Z23" s="30">
        <f t="shared" si="6"/>
        <v>7.5619999999999976</v>
      </c>
      <c r="AA23" s="31">
        <f t="shared" si="7"/>
        <v>9.1688695350000279E-2</v>
      </c>
      <c r="AG23" s="19">
        <v>12</v>
      </c>
      <c r="AH23" s="19">
        <f t="shared" si="8"/>
        <v>0</v>
      </c>
      <c r="AI23" s="19">
        <f t="shared" si="0"/>
        <v>76</v>
      </c>
      <c r="AJ23" s="21">
        <v>4.2869999999999999</v>
      </c>
      <c r="AK23" s="19">
        <f t="shared" si="9"/>
        <v>4.9141345399999994E-2</v>
      </c>
      <c r="AL23" s="19">
        <f t="shared" si="10"/>
        <v>6.8686500857632931</v>
      </c>
      <c r="AM23" s="19">
        <f t="shared" si="11"/>
        <v>153.8826407467468</v>
      </c>
      <c r="AN23" s="19">
        <f t="shared" si="1"/>
        <v>139.77334217966475</v>
      </c>
      <c r="AO23" s="19">
        <f t="shared" si="12"/>
        <v>0.10094413102711602</v>
      </c>
      <c r="AP23" s="19">
        <f t="shared" si="2"/>
        <v>153.8826407467468</v>
      </c>
      <c r="AQ23" s="35"/>
      <c r="AT23" s="10"/>
      <c r="AU23" s="10"/>
      <c r="AV23" s="10"/>
    </row>
    <row r="24" spans="2:49" x14ac:dyDescent="0.25">
      <c r="B24" s="3" t="s">
        <v>91</v>
      </c>
      <c r="C24" s="5">
        <v>29.2</v>
      </c>
      <c r="D24" s="2">
        <v>17</v>
      </c>
      <c r="E24" s="2">
        <v>17</v>
      </c>
      <c r="F24" s="2">
        <v>17</v>
      </c>
      <c r="G24" s="2">
        <v>20</v>
      </c>
      <c r="H24" s="2">
        <v>4.3</v>
      </c>
      <c r="I24" s="2">
        <v>1</v>
      </c>
      <c r="J24" s="2">
        <v>0</v>
      </c>
      <c r="K24" s="2">
        <v>3</v>
      </c>
      <c r="L24" s="2">
        <v>0</v>
      </c>
      <c r="M24" s="2">
        <v>0</v>
      </c>
      <c r="N24" s="2">
        <v>33.200000000000003</v>
      </c>
      <c r="O24" s="2">
        <v>100</v>
      </c>
      <c r="P24" s="45">
        <v>0.3263888888888889</v>
      </c>
      <c r="Q24" s="10"/>
      <c r="R24" s="42"/>
      <c r="S24" s="30">
        <f t="shared" si="3"/>
        <v>7.4620000000000033</v>
      </c>
      <c r="T24" s="30">
        <v>18</v>
      </c>
      <c r="U24" s="30">
        <f t="shared" si="4"/>
        <v>9.9999999999994316E-2</v>
      </c>
      <c r="V24" s="30">
        <f t="shared" si="13"/>
        <v>8.2847341337902669E-2</v>
      </c>
      <c r="W24" s="30">
        <f t="shared" si="5"/>
        <v>1.7152658662091647E-2</v>
      </c>
      <c r="X24" s="30">
        <f>V24+V23+V22+V21+V20+V19+V18+V17+V16+V15+V14+V13+V12+V11+V10+V9+V8+V7+V6</f>
        <v>7.8704974271012009</v>
      </c>
      <c r="Y24" s="30">
        <f t="shared" si="14"/>
        <v>0.61050257289879895</v>
      </c>
      <c r="Z24" s="30">
        <f t="shared" si="6"/>
        <v>7.4791526586620947</v>
      </c>
      <c r="AA24" s="31">
        <f t="shared" si="7"/>
        <v>8.1627237838465039E-2</v>
      </c>
      <c r="AG24" s="19">
        <v>12</v>
      </c>
      <c r="AH24" s="19">
        <f t="shared" si="8"/>
        <v>0</v>
      </c>
      <c r="AI24" s="19">
        <f t="shared" si="0"/>
        <v>76</v>
      </c>
      <c r="AJ24" s="21">
        <v>5.2869999999999999</v>
      </c>
      <c r="AK24" s="19">
        <f t="shared" si="9"/>
        <v>4.9141345399999994E-2</v>
      </c>
      <c r="AL24" s="19">
        <f t="shared" si="10"/>
        <v>6.8514974271012017</v>
      </c>
      <c r="AM24" s="19">
        <f t="shared" si="11"/>
        <v>151.84769442637204</v>
      </c>
      <c r="AN24" s="19">
        <f t="shared" si="1"/>
        <v>139.42429478337405</v>
      </c>
      <c r="AO24" s="19">
        <f t="shared" si="12"/>
        <v>8.8882468210775847E-2</v>
      </c>
      <c r="AP24" s="19">
        <f t="shared" si="2"/>
        <v>151.84769442637204</v>
      </c>
      <c r="AQ24" s="35"/>
      <c r="AT24" s="10"/>
      <c r="AU24" s="10"/>
      <c r="AV24" s="10"/>
    </row>
    <row r="25" spans="2:49" x14ac:dyDescent="0.25">
      <c r="B25" s="3" t="s">
        <v>92</v>
      </c>
      <c r="C25" s="5">
        <v>28.7</v>
      </c>
      <c r="D25" s="2">
        <v>17</v>
      </c>
      <c r="E25" s="2">
        <v>17</v>
      </c>
      <c r="F25" s="2">
        <v>17</v>
      </c>
      <c r="G25" s="2">
        <v>20</v>
      </c>
      <c r="H25" s="2">
        <v>4.3</v>
      </c>
      <c r="I25" s="2">
        <v>1</v>
      </c>
      <c r="J25" s="2">
        <v>0</v>
      </c>
      <c r="K25" s="2">
        <v>3</v>
      </c>
      <c r="L25" s="2">
        <v>0</v>
      </c>
      <c r="M25" s="2">
        <v>0</v>
      </c>
      <c r="N25" s="2">
        <v>33.200000000000003</v>
      </c>
      <c r="O25" s="2">
        <f t="shared" si="15"/>
        <v>0</v>
      </c>
      <c r="P25" s="45">
        <v>0.32430555555555557</v>
      </c>
      <c r="Q25" s="10"/>
      <c r="R25" s="42"/>
      <c r="S25" s="30">
        <f t="shared" si="3"/>
        <v>7.4620000000000033</v>
      </c>
      <c r="T25" s="30">
        <v>19</v>
      </c>
      <c r="U25" s="30">
        <f t="shared" si="4"/>
        <v>0</v>
      </c>
      <c r="V25" s="30">
        <f t="shared" si="13"/>
        <v>0</v>
      </c>
      <c r="W25" s="30">
        <f t="shared" si="5"/>
        <v>0</v>
      </c>
      <c r="X25" s="30">
        <f>V25+V24+V23+V22+V21+V20+V19+V18+V17+V16+V15+V14+V13+V12+V11+V10+V9+V8+V7+V6</f>
        <v>7.8704974271012009</v>
      </c>
      <c r="Y25" s="30">
        <f t="shared" si="14"/>
        <v>0.61050257289879895</v>
      </c>
      <c r="Z25" s="30">
        <f t="shared" si="6"/>
        <v>7.4620000000000033</v>
      </c>
      <c r="AA25" s="31">
        <f t="shared" si="7"/>
        <v>8.1814871736638789E-2</v>
      </c>
      <c r="AG25" s="19">
        <v>12</v>
      </c>
      <c r="AH25" s="19">
        <f t="shared" si="8"/>
        <v>0</v>
      </c>
      <c r="AI25" s="19">
        <f t="shared" si="0"/>
        <v>76</v>
      </c>
      <c r="AJ25" s="21">
        <v>6.2869999999999999</v>
      </c>
      <c r="AK25" s="19">
        <f t="shared" si="9"/>
        <v>4.9141345399999994E-2</v>
      </c>
      <c r="AL25" s="19">
        <f t="shared" si="10"/>
        <v>6.8514974271012017</v>
      </c>
      <c r="AM25" s="19">
        <f t="shared" si="11"/>
        <v>151.84769442637204</v>
      </c>
      <c r="AN25" s="19">
        <f t="shared" si="1"/>
        <v>139.42429478337405</v>
      </c>
      <c r="AO25" s="19">
        <f t="shared" si="12"/>
        <v>8.9104984624813047E-2</v>
      </c>
      <c r="AP25" s="19">
        <f t="shared" si="2"/>
        <v>151.84769442637204</v>
      </c>
      <c r="AQ25" s="35"/>
      <c r="AT25" s="10"/>
      <c r="AU25" s="10"/>
      <c r="AV25" s="10"/>
    </row>
    <row r="26" spans="2:49" x14ac:dyDescent="0.25">
      <c r="B26" s="3" t="s">
        <v>93</v>
      </c>
      <c r="C26" s="5">
        <v>31.1</v>
      </c>
      <c r="D26" s="2">
        <v>17</v>
      </c>
      <c r="E26" s="2">
        <v>17</v>
      </c>
      <c r="F26" s="2">
        <v>17</v>
      </c>
      <c r="G26" s="2">
        <v>20</v>
      </c>
      <c r="H26" s="2">
        <v>4.2</v>
      </c>
      <c r="I26" s="2">
        <v>1</v>
      </c>
      <c r="J26" s="2">
        <v>0</v>
      </c>
      <c r="K26" s="2">
        <v>2.9</v>
      </c>
      <c r="L26" s="2">
        <v>0</v>
      </c>
      <c r="M26" s="2">
        <v>0</v>
      </c>
      <c r="N26" s="2">
        <v>33.200000000000003</v>
      </c>
      <c r="O26" s="2">
        <f t="shared" si="15"/>
        <v>0</v>
      </c>
      <c r="P26" s="45">
        <v>0.32291666666666669</v>
      </c>
      <c r="Q26" s="10"/>
      <c r="R26" s="42"/>
      <c r="S26" s="30">
        <f t="shared" si="3"/>
        <v>7.4620000000000033</v>
      </c>
      <c r="T26" s="30">
        <v>20</v>
      </c>
      <c r="U26" s="30">
        <f t="shared" si="4"/>
        <v>0</v>
      </c>
      <c r="V26" s="30">
        <f t="shared" si="13"/>
        <v>0</v>
      </c>
      <c r="W26" s="30">
        <f t="shared" si="5"/>
        <v>0</v>
      </c>
      <c r="X26" s="30">
        <f>V26+V25+V24+V23+V22+V21+V20+V19+V18+V17+V16+V15+V14+V13+V12+V11+V10+V9+V8+V7+V6</f>
        <v>7.8704974271012009</v>
      </c>
      <c r="Y26" s="30">
        <f t="shared" si="14"/>
        <v>0.61050257289879895</v>
      </c>
      <c r="Z26" s="30">
        <f t="shared" si="6"/>
        <v>7.4620000000000033</v>
      </c>
      <c r="AA26" s="31">
        <f t="shared" si="7"/>
        <v>8.1814871736638789E-2</v>
      </c>
      <c r="AE26" s="26" t="s">
        <v>310</v>
      </c>
      <c r="AF26" s="27">
        <v>1670</v>
      </c>
      <c r="AG26" s="19">
        <v>12</v>
      </c>
      <c r="AH26" s="19">
        <f t="shared" si="8"/>
        <v>0</v>
      </c>
      <c r="AI26" s="19">
        <f t="shared" si="0"/>
        <v>76</v>
      </c>
      <c r="AJ26" s="21">
        <v>7.2869999999999999</v>
      </c>
      <c r="AK26" s="19">
        <f t="shared" si="9"/>
        <v>4.9141345399999994E-2</v>
      </c>
      <c r="AL26" s="19">
        <f t="shared" si="10"/>
        <v>6.8514974271012017</v>
      </c>
      <c r="AM26" s="19">
        <f t="shared" si="11"/>
        <v>151.84769442637204</v>
      </c>
      <c r="AN26" s="19">
        <f t="shared" si="1"/>
        <v>139.42429478337405</v>
      </c>
      <c r="AO26" s="19">
        <f t="shared" si="12"/>
        <v>8.9104984624813047E-2</v>
      </c>
      <c r="AP26" s="19">
        <f t="shared" si="2"/>
        <v>151.84769442637204</v>
      </c>
      <c r="AQ26" s="35"/>
      <c r="AT26" s="10"/>
      <c r="AU26" s="10"/>
      <c r="AV26" s="10"/>
    </row>
    <row r="27" spans="2:49" x14ac:dyDescent="0.25">
      <c r="B27" s="39"/>
      <c r="C27" s="3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42"/>
      <c r="S27" s="30"/>
      <c r="T27" s="30"/>
      <c r="U27" s="30"/>
      <c r="V27" s="30"/>
      <c r="W27" s="30"/>
      <c r="X27" s="30"/>
      <c r="Y27" s="30"/>
      <c r="Z27" s="30"/>
      <c r="AA27" s="31"/>
      <c r="AG27" s="19"/>
      <c r="AH27" s="19"/>
      <c r="AI27" s="19"/>
      <c r="AJ27" s="21"/>
      <c r="AK27" s="19"/>
      <c r="AL27" s="19"/>
      <c r="AM27" s="19"/>
      <c r="AN27" s="19"/>
      <c r="AO27" s="19"/>
      <c r="AP27" s="19"/>
      <c r="AQ27" s="35"/>
      <c r="AT27" s="10"/>
      <c r="AU27" s="10"/>
      <c r="AV27" s="10"/>
    </row>
    <row r="28" spans="2:49" x14ac:dyDescent="0.25">
      <c r="B28" s="63" t="s">
        <v>303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S28" s="63" t="s">
        <v>305</v>
      </c>
      <c r="T28" s="63"/>
      <c r="U28" s="63"/>
      <c r="V28" s="63"/>
      <c r="W28" s="63"/>
      <c r="X28" s="63"/>
      <c r="Y28" s="63"/>
      <c r="Z28" s="63"/>
      <c r="AA28" s="63"/>
      <c r="AG28" s="63" t="s">
        <v>305</v>
      </c>
      <c r="AH28" s="63"/>
      <c r="AI28" s="63"/>
      <c r="AJ28" s="63"/>
      <c r="AK28" s="63"/>
      <c r="AL28" s="63"/>
      <c r="AM28" s="63"/>
      <c r="AN28" s="63"/>
      <c r="AO28" s="63"/>
      <c r="AP28" s="63"/>
      <c r="AQ28" s="35"/>
    </row>
    <row r="29" spans="2:49" x14ac:dyDescent="0.25">
      <c r="AQ29" s="35"/>
    </row>
    <row r="30" spans="2:49" x14ac:dyDescent="0.25">
      <c r="S30" t="s">
        <v>313</v>
      </c>
      <c r="X30" s="8">
        <v>8.4809999999999999</v>
      </c>
      <c r="AQ30" s="35"/>
    </row>
    <row r="31" spans="2:49" x14ac:dyDescent="0.25">
      <c r="S31" t="s">
        <v>312</v>
      </c>
      <c r="X31" s="8">
        <v>0.371</v>
      </c>
      <c r="AQ31" s="35"/>
    </row>
    <row r="32" spans="2:49" x14ac:dyDescent="0.25">
      <c r="S32" t="s">
        <v>311</v>
      </c>
      <c r="X32" s="8">
        <f>S6-S26</f>
        <v>9.5</v>
      </c>
      <c r="AQ32" s="35"/>
    </row>
    <row r="33" spans="1:43" x14ac:dyDescent="0.25">
      <c r="S33" t="s">
        <v>314</v>
      </c>
      <c r="X33" s="8">
        <f>X30-X31</f>
        <v>8.11</v>
      </c>
      <c r="Z33" s="8"/>
      <c r="AQ33" s="35"/>
    </row>
    <row r="34" spans="1:43" x14ac:dyDescent="0.25">
      <c r="S34" t="s">
        <v>315</v>
      </c>
      <c r="X34" s="8">
        <f>X32-X33</f>
        <v>1.3900000000000006</v>
      </c>
      <c r="AQ34" s="35"/>
    </row>
    <row r="35" spans="1:43" x14ac:dyDescent="0.25">
      <c r="Y35" s="18"/>
      <c r="AQ35" s="35"/>
    </row>
    <row r="36" spans="1:43" x14ac:dyDescent="0.25">
      <c r="S36" t="s">
        <v>316</v>
      </c>
      <c r="X36" s="29">
        <f>X33/X34</f>
        <v>5.8345323741007169</v>
      </c>
      <c r="AQ36" s="35"/>
    </row>
    <row r="37" spans="1:43" x14ac:dyDescent="0.25">
      <c r="AQ37" s="35"/>
    </row>
    <row r="38" spans="1:43" x14ac:dyDescent="0.25">
      <c r="AQ38" s="35"/>
    </row>
    <row r="39" spans="1:43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8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10" spans="46:46" x14ac:dyDescent="0.25">
      <c r="AT410" s="7"/>
    </row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54" spans="46:46" x14ac:dyDescent="0.25">
      <c r="AT554" s="7"/>
    </row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84" spans="46:46" x14ac:dyDescent="0.25">
      <c r="AT684" s="7"/>
    </row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</sheetData>
  <mergeCells count="3">
    <mergeCell ref="B28:P28"/>
    <mergeCell ref="S28:AA28"/>
    <mergeCell ref="AG28:AP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4C3CF-C6C2-4509-BAB0-C7F24E693DB2}">
  <dimension ref="A1:AW1110"/>
  <sheetViews>
    <sheetView zoomScale="115" zoomScaleNormal="115" workbookViewId="0">
      <selection activeCell="W28" sqref="W28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2.2851562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</cols>
  <sheetData>
    <row r="1" spans="2:49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9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9" x14ac:dyDescent="0.25">
      <c r="L3" s="9"/>
      <c r="M3" s="10"/>
      <c r="AQ3" s="35"/>
    </row>
    <row r="4" spans="2:49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350</v>
      </c>
      <c r="W4" s="17" t="s">
        <v>351</v>
      </c>
      <c r="X4" s="17" t="s">
        <v>352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9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9" x14ac:dyDescent="0.25">
      <c r="B6" s="3" t="s">
        <v>94</v>
      </c>
      <c r="C6" s="5">
        <v>26.5</v>
      </c>
      <c r="D6" s="2">
        <v>6</v>
      </c>
      <c r="E6" s="2">
        <v>6</v>
      </c>
      <c r="F6" s="2">
        <v>6</v>
      </c>
      <c r="G6" s="2">
        <v>20</v>
      </c>
      <c r="H6" s="2">
        <v>0</v>
      </c>
      <c r="I6" s="2">
        <v>0</v>
      </c>
      <c r="J6" s="2">
        <v>0</v>
      </c>
      <c r="K6" s="2">
        <v>21</v>
      </c>
      <c r="L6" s="2">
        <v>0</v>
      </c>
      <c r="M6" s="2">
        <v>0</v>
      </c>
      <c r="N6" s="2">
        <v>39.799999999999997</v>
      </c>
      <c r="O6" s="2">
        <v>0</v>
      </c>
      <c r="P6" s="45">
        <v>0.40972222222222227</v>
      </c>
      <c r="Q6" s="10"/>
      <c r="R6" s="41"/>
      <c r="S6" s="30">
        <f>N6-25.669</f>
        <v>14.130999999999997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5.65</v>
      </c>
      <c r="Z6" s="30">
        <f>S6-V6</f>
        <v>14.130999999999997</v>
      </c>
      <c r="AA6" s="31">
        <f>Y6/Z6</f>
        <v>0.39983016063972837</v>
      </c>
      <c r="AC6" s="18"/>
      <c r="AD6" s="18">
        <v>1000</v>
      </c>
      <c r="AE6" s="22" t="s">
        <v>309</v>
      </c>
      <c r="AF6" s="23">
        <v>1500</v>
      </c>
      <c r="AG6" s="19">
        <v>1</v>
      </c>
      <c r="AH6" s="19">
        <v>0</v>
      </c>
      <c r="AI6" s="19">
        <f t="shared" ref="AI6:AI20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8.4809999999999999</v>
      </c>
      <c r="AM6" s="19">
        <f>S6/AK6</f>
        <v>287.55826453217128</v>
      </c>
      <c r="AN6" s="19">
        <f t="shared" ref="AN6:AN20" si="1">AL6/AK6</f>
        <v>172.58379743099181</v>
      </c>
      <c r="AO6" s="19">
        <f>(AA6/(1-AA6))</f>
        <v>0.66619502417167809</v>
      </c>
      <c r="AP6" s="19">
        <f t="shared" ref="AP6:AP20" si="2">AM6/(1+AQ6)</f>
        <v>287.55826453217128</v>
      </c>
      <c r="AQ6" s="35"/>
      <c r="AT6" s="10"/>
      <c r="AU6" s="10"/>
      <c r="AV6" s="10"/>
      <c r="AW6" s="10"/>
    </row>
    <row r="7" spans="2:49" x14ac:dyDescent="0.25">
      <c r="B7" s="3" t="s">
        <v>95</v>
      </c>
      <c r="C7" s="5">
        <v>45.1</v>
      </c>
      <c r="D7" s="2">
        <v>7</v>
      </c>
      <c r="E7" s="2">
        <v>7</v>
      </c>
      <c r="F7" s="2">
        <v>7</v>
      </c>
      <c r="G7" s="2">
        <v>20</v>
      </c>
      <c r="H7" s="2">
        <v>81.7</v>
      </c>
      <c r="I7" s="2">
        <v>0</v>
      </c>
      <c r="J7" s="2">
        <v>0</v>
      </c>
      <c r="K7" s="2">
        <v>2.8</v>
      </c>
      <c r="L7" s="2">
        <v>0</v>
      </c>
      <c r="M7" s="2">
        <v>0</v>
      </c>
      <c r="N7" s="2">
        <v>38.4</v>
      </c>
      <c r="O7" s="2">
        <v>1400</v>
      </c>
      <c r="P7" s="45">
        <v>0.33263888888888887</v>
      </c>
      <c r="Q7" s="10"/>
      <c r="R7" s="41"/>
      <c r="S7" s="30">
        <f t="shared" ref="S7:S20" si="3">N7-25.669</f>
        <v>12.730999999999998</v>
      </c>
      <c r="T7" s="30">
        <v>1</v>
      </c>
      <c r="U7" s="30">
        <f t="shared" ref="U7:U20" si="4">S6-S7</f>
        <v>1.3999999999999986</v>
      </c>
      <c r="V7" s="30">
        <f>U7-(U7/6.01)</f>
        <v>1.1670549084858557</v>
      </c>
      <c r="W7" s="30">
        <f t="shared" ref="W7:W20" si="5">U7-V7</f>
        <v>0.23294509151414289</v>
      </c>
      <c r="X7" s="30">
        <f>V7+V6</f>
        <v>1.1670549084858557</v>
      </c>
      <c r="Y7" s="30">
        <f>5.65-X7</f>
        <v>4.4829450915141447</v>
      </c>
      <c r="Z7" s="30">
        <f t="shared" ref="Z7:Z20" si="6">S6-V7</f>
        <v>12.963945091514141</v>
      </c>
      <c r="AA7" s="31">
        <f t="shared" ref="AA7:AA20" si="7">Y7/Z7</f>
        <v>0.34580099343745008</v>
      </c>
      <c r="AC7" s="18"/>
      <c r="AD7" s="18"/>
      <c r="AE7" s="24"/>
      <c r="AF7" s="25"/>
      <c r="AG7" s="19">
        <v>2</v>
      </c>
      <c r="AH7" s="19">
        <f t="shared" ref="AH7:AH20" si="8">AG7-AG6</f>
        <v>1</v>
      </c>
      <c r="AI7" s="19">
        <f t="shared" si="0"/>
        <v>75</v>
      </c>
      <c r="AJ7" s="21">
        <v>0.28699999999999998</v>
      </c>
      <c r="AK7" s="19">
        <f t="shared" ref="AK7:AK20" si="9">((($AJ$6*$AJ$6)*3.14)/4)*(AI7/100)</f>
        <v>4.8494748749999997E-2</v>
      </c>
      <c r="AL7" s="19">
        <f t="shared" ref="AL7:AL20" si="10">AL6-W7</f>
        <v>8.248054908485857</v>
      </c>
      <c r="AM7" s="19">
        <f t="shared" ref="AM7:AM20" si="11">S7/AK7</f>
        <v>262.52326959421561</v>
      </c>
      <c r="AN7" s="19">
        <f t="shared" si="1"/>
        <v>170.08140306090064</v>
      </c>
      <c r="AO7" s="19">
        <f t="shared" ref="AO7:AO20" si="12">(AA7/(1-AA7))</f>
        <v>0.52858685196487987</v>
      </c>
      <c r="AP7" s="19">
        <f t="shared" si="2"/>
        <v>262.52326959421561</v>
      </c>
      <c r="AQ7" s="35"/>
      <c r="AT7" s="10"/>
      <c r="AU7" s="10"/>
      <c r="AV7" s="10"/>
      <c r="AW7" s="10"/>
    </row>
    <row r="8" spans="2:49" x14ac:dyDescent="0.25">
      <c r="B8" s="3" t="s">
        <v>96</v>
      </c>
      <c r="C8" s="5">
        <v>39.200000000000003</v>
      </c>
      <c r="D8" s="2">
        <v>8</v>
      </c>
      <c r="E8" s="2">
        <v>8</v>
      </c>
      <c r="F8" s="2">
        <v>8</v>
      </c>
      <c r="G8" s="2">
        <v>20</v>
      </c>
      <c r="H8" s="2">
        <v>27.8</v>
      </c>
      <c r="I8" s="2">
        <v>0</v>
      </c>
      <c r="J8" s="2">
        <v>0</v>
      </c>
      <c r="K8" s="2">
        <v>2.8</v>
      </c>
      <c r="L8" s="2">
        <v>0</v>
      </c>
      <c r="M8" s="2">
        <v>0</v>
      </c>
      <c r="N8" s="2">
        <v>36.4</v>
      </c>
      <c r="O8" s="2">
        <v>2000</v>
      </c>
      <c r="P8" s="45">
        <v>0.33402777777777781</v>
      </c>
      <c r="Q8" s="10"/>
      <c r="R8" s="41"/>
      <c r="S8" s="30">
        <f t="shared" si="3"/>
        <v>10.730999999999998</v>
      </c>
      <c r="T8" s="30">
        <v>2</v>
      </c>
      <c r="U8" s="30">
        <f t="shared" si="4"/>
        <v>2</v>
      </c>
      <c r="V8" s="30">
        <f t="shared" ref="V8:V20" si="13">U8-(U8/6.01)</f>
        <v>1.6672212978369383</v>
      </c>
      <c r="W8" s="30">
        <f t="shared" si="5"/>
        <v>0.33277870216306171</v>
      </c>
      <c r="X8" s="30">
        <f>V7+V8+V6</f>
        <v>2.834276206322794</v>
      </c>
      <c r="Y8" s="30">
        <f t="shared" ref="Y8:Y20" si="14">5.65-X8</f>
        <v>2.8157237936772064</v>
      </c>
      <c r="Z8" s="30">
        <f t="shared" si="6"/>
        <v>11.063778702163059</v>
      </c>
      <c r="AA8" s="31">
        <f t="shared" si="7"/>
        <v>0.2544992872215267</v>
      </c>
      <c r="AC8" s="18"/>
      <c r="AD8" s="18"/>
      <c r="AE8" s="24"/>
      <c r="AF8" s="25"/>
      <c r="AG8" s="19">
        <v>3</v>
      </c>
      <c r="AH8" s="19">
        <f t="shared" si="8"/>
        <v>1</v>
      </c>
      <c r="AI8" s="19">
        <f t="shared" si="0"/>
        <v>75</v>
      </c>
      <c r="AJ8" s="21">
        <v>0.28699999999999998</v>
      </c>
      <c r="AK8" s="19">
        <f t="shared" si="9"/>
        <v>4.8494748749999997E-2</v>
      </c>
      <c r="AL8" s="19">
        <f t="shared" si="10"/>
        <v>7.9152762063227957</v>
      </c>
      <c r="AM8" s="19">
        <f t="shared" si="11"/>
        <v>221.28169083461844</v>
      </c>
      <c r="AN8" s="19">
        <f t="shared" si="1"/>
        <v>163.21924353351343</v>
      </c>
      <c r="AO8" s="19">
        <f t="shared" si="12"/>
        <v>0.34138034056736249</v>
      </c>
      <c r="AP8" s="19">
        <f t="shared" si="2"/>
        <v>221.28169083461844</v>
      </c>
      <c r="AQ8" s="35"/>
      <c r="AT8" s="10"/>
      <c r="AU8" s="10"/>
      <c r="AV8" s="10"/>
      <c r="AW8" s="10"/>
    </row>
    <row r="9" spans="2:49" x14ac:dyDescent="0.25">
      <c r="B9" s="3" t="s">
        <v>97</v>
      </c>
      <c r="C9" s="5">
        <v>27.5</v>
      </c>
      <c r="D9" s="2">
        <v>8</v>
      </c>
      <c r="E9" s="2">
        <v>8</v>
      </c>
      <c r="F9" s="2">
        <v>8</v>
      </c>
      <c r="G9" s="2">
        <v>20</v>
      </c>
      <c r="H9" s="2">
        <v>10</v>
      </c>
      <c r="I9" s="2">
        <v>1</v>
      </c>
      <c r="J9" s="2">
        <v>0</v>
      </c>
      <c r="K9" s="2">
        <v>2.8</v>
      </c>
      <c r="L9" s="2">
        <v>0</v>
      </c>
      <c r="M9" s="2">
        <v>0</v>
      </c>
      <c r="N9" s="2">
        <v>35.799999999999997</v>
      </c>
      <c r="O9" s="2">
        <v>600</v>
      </c>
      <c r="P9" s="45">
        <v>0.33055555555555555</v>
      </c>
      <c r="Q9" s="10"/>
      <c r="R9" s="41"/>
      <c r="S9" s="30">
        <f t="shared" si="3"/>
        <v>10.130999999999997</v>
      </c>
      <c r="T9" s="30">
        <v>3</v>
      </c>
      <c r="U9" s="30">
        <f t="shared" si="4"/>
        <v>0.60000000000000142</v>
      </c>
      <c r="V9" s="30">
        <f t="shared" si="13"/>
        <v>0.50016638935108271</v>
      </c>
      <c r="W9" s="30">
        <f t="shared" si="5"/>
        <v>9.9833610648918714E-2</v>
      </c>
      <c r="X9" s="30">
        <f>V9+V8+V7+V6</f>
        <v>3.3344425956738766</v>
      </c>
      <c r="Y9" s="30">
        <f t="shared" si="14"/>
        <v>2.3155574043261238</v>
      </c>
      <c r="Z9" s="30">
        <f t="shared" si="6"/>
        <v>10.230833610648915</v>
      </c>
      <c r="AA9" s="31">
        <f t="shared" si="7"/>
        <v>0.22633125436777132</v>
      </c>
      <c r="AC9" s="18"/>
      <c r="AD9" s="18"/>
      <c r="AE9" s="24"/>
      <c r="AF9" s="25"/>
      <c r="AG9" s="19">
        <v>3</v>
      </c>
      <c r="AH9" s="19">
        <f t="shared" si="8"/>
        <v>0</v>
      </c>
      <c r="AI9" s="19">
        <f t="shared" si="0"/>
        <v>76</v>
      </c>
      <c r="AJ9" s="21">
        <v>0.28699999999999998</v>
      </c>
      <c r="AK9" s="19">
        <f t="shared" si="9"/>
        <v>4.9141345399999994E-2</v>
      </c>
      <c r="AL9" s="19">
        <f t="shared" si="10"/>
        <v>7.8154425956738773</v>
      </c>
      <c r="AM9" s="19">
        <f t="shared" si="11"/>
        <v>206.16041171717691</v>
      </c>
      <c r="AN9" s="19">
        <f t="shared" si="1"/>
        <v>159.04006152167494</v>
      </c>
      <c r="AO9" s="19">
        <f t="shared" si="12"/>
        <v>0.292542842974505</v>
      </c>
      <c r="AP9" s="19">
        <f t="shared" si="2"/>
        <v>206.16041171717691</v>
      </c>
      <c r="AQ9" s="35"/>
      <c r="AT9" s="10"/>
      <c r="AU9" s="10"/>
      <c r="AV9" s="10"/>
      <c r="AW9" s="10"/>
    </row>
    <row r="10" spans="2:49" x14ac:dyDescent="0.25">
      <c r="B10" s="3" t="s">
        <v>98</v>
      </c>
      <c r="C10" s="5">
        <v>25.8</v>
      </c>
      <c r="D10" s="2">
        <v>9</v>
      </c>
      <c r="E10" s="2">
        <v>9</v>
      </c>
      <c r="F10" s="2">
        <v>9</v>
      </c>
      <c r="G10" s="2">
        <v>20</v>
      </c>
      <c r="H10" s="2">
        <v>6.6</v>
      </c>
      <c r="I10" s="2">
        <v>2</v>
      </c>
      <c r="J10" s="2">
        <v>0</v>
      </c>
      <c r="K10" s="2">
        <v>2.8</v>
      </c>
      <c r="L10" s="2">
        <v>0</v>
      </c>
      <c r="M10" s="2">
        <v>0</v>
      </c>
      <c r="N10" s="2">
        <v>35.5</v>
      </c>
      <c r="O10" s="2">
        <v>300</v>
      </c>
      <c r="P10" s="45">
        <v>0.3354166666666667</v>
      </c>
      <c r="Q10" s="10"/>
      <c r="R10" s="41"/>
      <c r="S10" s="30">
        <f t="shared" si="3"/>
        <v>9.8309999999999995</v>
      </c>
      <c r="T10" s="30">
        <v>4</v>
      </c>
      <c r="U10" s="30">
        <f t="shared" si="4"/>
        <v>0.29999999999999716</v>
      </c>
      <c r="V10" s="30">
        <f t="shared" si="13"/>
        <v>0.25008319467553841</v>
      </c>
      <c r="W10" s="30">
        <f t="shared" si="5"/>
        <v>4.9916805324458746E-2</v>
      </c>
      <c r="X10" s="30">
        <f>V10+V9+V8+V7+V6</f>
        <v>3.584525790349415</v>
      </c>
      <c r="Y10" s="30">
        <f t="shared" si="14"/>
        <v>2.0654742096505854</v>
      </c>
      <c r="Z10" s="30">
        <f t="shared" si="6"/>
        <v>9.8809168053244587</v>
      </c>
      <c r="AA10" s="31">
        <f t="shared" si="7"/>
        <v>0.20903669673016356</v>
      </c>
      <c r="AC10" s="18"/>
      <c r="AD10" s="18"/>
      <c r="AE10" s="24"/>
      <c r="AF10" s="25"/>
      <c r="AG10" s="19">
        <v>4</v>
      </c>
      <c r="AH10" s="19">
        <f t="shared" si="8"/>
        <v>1</v>
      </c>
      <c r="AI10" s="19">
        <f t="shared" si="0"/>
        <v>75</v>
      </c>
      <c r="AJ10" s="21">
        <v>0.28699999999999998</v>
      </c>
      <c r="AK10" s="19">
        <f t="shared" si="9"/>
        <v>4.8494748749999997E-2</v>
      </c>
      <c r="AL10" s="19">
        <f t="shared" si="10"/>
        <v>7.7655257903494181</v>
      </c>
      <c r="AM10" s="19">
        <f t="shared" si="11"/>
        <v>202.72298039279974</v>
      </c>
      <c r="AN10" s="19">
        <f t="shared" si="1"/>
        <v>160.13127174618919</v>
      </c>
      <c r="AO10" s="19">
        <f t="shared" si="12"/>
        <v>0.26428115674394426</v>
      </c>
      <c r="AP10" s="19">
        <f t="shared" si="2"/>
        <v>202.72298039279974</v>
      </c>
      <c r="AQ10" s="35"/>
      <c r="AT10" s="10"/>
      <c r="AU10" s="10"/>
      <c r="AV10" s="10"/>
      <c r="AW10" s="10"/>
    </row>
    <row r="11" spans="2:49" x14ac:dyDescent="0.25">
      <c r="B11" s="3" t="s">
        <v>99</v>
      </c>
      <c r="C11" s="5">
        <v>24.1</v>
      </c>
      <c r="D11" s="2">
        <v>10</v>
      </c>
      <c r="E11" s="2">
        <v>10</v>
      </c>
      <c r="F11" s="2">
        <v>10</v>
      </c>
      <c r="G11" s="2">
        <v>20</v>
      </c>
      <c r="H11" s="2">
        <v>57</v>
      </c>
      <c r="I11" s="2">
        <v>2</v>
      </c>
      <c r="J11" s="2">
        <v>0</v>
      </c>
      <c r="K11" s="2">
        <v>2.8</v>
      </c>
      <c r="L11" s="2">
        <v>0</v>
      </c>
      <c r="M11" s="2">
        <v>0</v>
      </c>
      <c r="N11" s="2">
        <v>35.200000000000003</v>
      </c>
      <c r="O11" s="2">
        <v>300</v>
      </c>
      <c r="P11" s="45">
        <v>0.32777777777777778</v>
      </c>
      <c r="Q11" s="10"/>
      <c r="R11" s="41"/>
      <c r="S11" s="30">
        <f t="shared" si="3"/>
        <v>9.5310000000000024</v>
      </c>
      <c r="T11" s="30">
        <v>5</v>
      </c>
      <c r="U11" s="30">
        <f t="shared" si="4"/>
        <v>0.29999999999999716</v>
      </c>
      <c r="V11" s="30">
        <f t="shared" si="13"/>
        <v>0.25008319467553841</v>
      </c>
      <c r="W11" s="30">
        <f t="shared" si="5"/>
        <v>4.9916805324458746E-2</v>
      </c>
      <c r="X11" s="30">
        <f>V11+V10+V9+V8+V7+V6</f>
        <v>3.8346089850249534</v>
      </c>
      <c r="Y11" s="30">
        <f t="shared" si="14"/>
        <v>1.815391014975047</v>
      </c>
      <c r="Z11" s="30">
        <f t="shared" si="6"/>
        <v>9.5809168053244615</v>
      </c>
      <c r="AA11" s="31">
        <f t="shared" si="7"/>
        <v>0.18947988505298038</v>
      </c>
      <c r="AC11" s="18"/>
      <c r="AD11" s="18"/>
      <c r="AE11" s="24"/>
      <c r="AF11" s="25"/>
      <c r="AG11" s="19">
        <v>5</v>
      </c>
      <c r="AH11" s="19">
        <f t="shared" si="8"/>
        <v>1</v>
      </c>
      <c r="AI11" s="19">
        <f t="shared" si="0"/>
        <v>75</v>
      </c>
      <c r="AJ11" s="21">
        <v>0.28699999999999998</v>
      </c>
      <c r="AK11" s="19">
        <f t="shared" si="9"/>
        <v>4.8494748749999997E-2</v>
      </c>
      <c r="AL11" s="19">
        <f t="shared" si="10"/>
        <v>7.715608985024959</v>
      </c>
      <c r="AM11" s="19">
        <f t="shared" si="11"/>
        <v>196.53674357886024</v>
      </c>
      <c r="AN11" s="19">
        <f t="shared" si="1"/>
        <v>159.10194781708111</v>
      </c>
      <c r="AO11" s="19">
        <f t="shared" si="12"/>
        <v>0.23377567263135218</v>
      </c>
      <c r="AP11" s="19">
        <f t="shared" si="2"/>
        <v>196.53674357886024</v>
      </c>
      <c r="AQ11" s="35"/>
      <c r="AT11" s="10"/>
      <c r="AU11" s="10"/>
      <c r="AV11" s="10"/>
      <c r="AW11" s="10"/>
    </row>
    <row r="12" spans="2:49" x14ac:dyDescent="0.25">
      <c r="B12" s="3" t="s">
        <v>100</v>
      </c>
      <c r="C12" s="5">
        <v>26.8</v>
      </c>
      <c r="D12" s="2">
        <v>10</v>
      </c>
      <c r="E12" s="2">
        <v>10</v>
      </c>
      <c r="F12" s="2">
        <v>10</v>
      </c>
      <c r="G12" s="2">
        <v>20</v>
      </c>
      <c r="H12" s="2">
        <v>55.7</v>
      </c>
      <c r="I12" s="2">
        <v>1</v>
      </c>
      <c r="J12" s="2">
        <v>0</v>
      </c>
      <c r="K12" s="2">
        <v>2.7</v>
      </c>
      <c r="L12" s="2">
        <v>0</v>
      </c>
      <c r="M12" s="2">
        <v>0</v>
      </c>
      <c r="N12" s="2">
        <v>35.1</v>
      </c>
      <c r="O12" s="2">
        <v>100</v>
      </c>
      <c r="P12" s="45">
        <v>0.31875000000000003</v>
      </c>
      <c r="Q12" s="10"/>
      <c r="R12" s="41"/>
      <c r="S12" s="30">
        <f t="shared" si="3"/>
        <v>9.4310000000000009</v>
      </c>
      <c r="T12" s="30">
        <v>6</v>
      </c>
      <c r="U12" s="30">
        <f t="shared" si="4"/>
        <v>0.10000000000000142</v>
      </c>
      <c r="V12" s="30">
        <f t="shared" si="13"/>
        <v>8.3361064891848108E-2</v>
      </c>
      <c r="W12" s="30">
        <f t="shared" si="5"/>
        <v>1.6638935108153313E-2</v>
      </c>
      <c r="X12" s="30">
        <f>V12+V11+V10+V9+V8+V7+V6</f>
        <v>3.9179700499168018</v>
      </c>
      <c r="Y12" s="30">
        <f t="shared" si="14"/>
        <v>1.7320299500831986</v>
      </c>
      <c r="Z12" s="30">
        <f t="shared" si="6"/>
        <v>9.447638935108154</v>
      </c>
      <c r="AA12" s="31">
        <f t="shared" si="7"/>
        <v>0.18332939710966747</v>
      </c>
      <c r="AC12" s="18"/>
      <c r="AD12" s="18"/>
      <c r="AE12" s="24"/>
      <c r="AF12" s="25"/>
      <c r="AG12" s="19">
        <v>5</v>
      </c>
      <c r="AH12" s="19">
        <f t="shared" si="8"/>
        <v>0</v>
      </c>
      <c r="AI12" s="19">
        <f t="shared" si="0"/>
        <v>76</v>
      </c>
      <c r="AJ12" s="21">
        <v>0.28699999999999998</v>
      </c>
      <c r="AK12" s="19">
        <f t="shared" si="9"/>
        <v>4.9141345399999994E-2</v>
      </c>
      <c r="AL12" s="19">
        <f t="shared" si="10"/>
        <v>7.6989700499168059</v>
      </c>
      <c r="AM12" s="19">
        <f t="shared" si="11"/>
        <v>191.91578747455299</v>
      </c>
      <c r="AN12" s="19">
        <f t="shared" si="1"/>
        <v>156.66990773754449</v>
      </c>
      <c r="AO12" s="19">
        <f t="shared" si="12"/>
        <v>0.22448389407042982</v>
      </c>
      <c r="AP12" s="19">
        <f t="shared" si="2"/>
        <v>191.91578747455299</v>
      </c>
      <c r="AQ12" s="35"/>
      <c r="AT12" s="10"/>
      <c r="AU12" s="10"/>
      <c r="AV12" s="10"/>
      <c r="AW12" s="10"/>
    </row>
    <row r="13" spans="2:49" x14ac:dyDescent="0.25">
      <c r="B13" s="3" t="s">
        <v>101</v>
      </c>
      <c r="C13" s="5">
        <v>22.1</v>
      </c>
      <c r="D13" s="2">
        <v>10</v>
      </c>
      <c r="E13" s="2">
        <v>10</v>
      </c>
      <c r="F13" s="2">
        <v>10</v>
      </c>
      <c r="G13" s="2">
        <v>20</v>
      </c>
      <c r="H13" s="2">
        <v>5.4</v>
      </c>
      <c r="I13" s="2">
        <v>1</v>
      </c>
      <c r="J13" s="2">
        <v>0</v>
      </c>
      <c r="K13" s="2">
        <v>2.8</v>
      </c>
      <c r="L13" s="2">
        <v>0</v>
      </c>
      <c r="M13" s="2">
        <v>0</v>
      </c>
      <c r="N13" s="2">
        <v>34.9</v>
      </c>
      <c r="O13" s="2">
        <v>200</v>
      </c>
      <c r="P13" s="45">
        <v>0.3215277777777778</v>
      </c>
      <c r="Q13" s="10"/>
      <c r="R13" s="41"/>
      <c r="S13" s="30">
        <f t="shared" si="3"/>
        <v>9.2309999999999981</v>
      </c>
      <c r="T13" s="30">
        <v>7</v>
      </c>
      <c r="U13" s="30">
        <f t="shared" si="4"/>
        <v>0.20000000000000284</v>
      </c>
      <c r="V13" s="30">
        <f t="shared" si="13"/>
        <v>0.16672212978369622</v>
      </c>
      <c r="W13" s="30">
        <f t="shared" si="5"/>
        <v>3.3277870216306626E-2</v>
      </c>
      <c r="X13" s="30">
        <f>V13+V12+V11+V10+V9+V8+V7+V6</f>
        <v>4.0846921797004976</v>
      </c>
      <c r="Y13" s="30">
        <f t="shared" si="14"/>
        <v>1.5653078202995028</v>
      </c>
      <c r="Z13" s="30">
        <f t="shared" si="6"/>
        <v>9.2642778702163042</v>
      </c>
      <c r="AA13" s="31">
        <f t="shared" si="7"/>
        <v>0.16896166568274099</v>
      </c>
      <c r="AC13" s="18"/>
      <c r="AD13" s="18"/>
      <c r="AE13" s="24"/>
      <c r="AF13" s="25"/>
      <c r="AG13" s="19">
        <v>5</v>
      </c>
      <c r="AH13" s="19">
        <f t="shared" si="8"/>
        <v>0</v>
      </c>
      <c r="AI13" s="19">
        <f t="shared" si="0"/>
        <v>76</v>
      </c>
      <c r="AJ13" s="21">
        <v>0.28699999999999998</v>
      </c>
      <c r="AK13" s="19">
        <f t="shared" si="9"/>
        <v>4.9141345399999994E-2</v>
      </c>
      <c r="AL13" s="19">
        <f t="shared" si="10"/>
        <v>7.6656921797004989</v>
      </c>
      <c r="AM13" s="19">
        <f t="shared" si="11"/>
        <v>187.84589483380321</v>
      </c>
      <c r="AN13" s="19">
        <f t="shared" si="1"/>
        <v>155.99272094207865</v>
      </c>
      <c r="AO13" s="19">
        <f t="shared" si="12"/>
        <v>0.20331392512903959</v>
      </c>
      <c r="AP13" s="19">
        <f t="shared" si="2"/>
        <v>187.84589483380321</v>
      </c>
      <c r="AQ13" s="35"/>
      <c r="AT13" s="10"/>
      <c r="AU13" s="10"/>
      <c r="AV13" s="10"/>
      <c r="AW13" s="10"/>
    </row>
    <row r="14" spans="2:49" x14ac:dyDescent="0.25">
      <c r="B14" s="3" t="s">
        <v>102</v>
      </c>
      <c r="C14" s="5">
        <v>24.2</v>
      </c>
      <c r="D14" s="2">
        <v>10</v>
      </c>
      <c r="E14" s="2">
        <v>10</v>
      </c>
      <c r="F14" s="2">
        <v>10</v>
      </c>
      <c r="G14" s="2">
        <v>20</v>
      </c>
      <c r="H14" s="2">
        <v>5</v>
      </c>
      <c r="I14" s="2">
        <v>2</v>
      </c>
      <c r="J14" s="2">
        <v>0</v>
      </c>
      <c r="K14" s="2">
        <v>2.8</v>
      </c>
      <c r="L14" s="2">
        <v>0</v>
      </c>
      <c r="M14" s="2">
        <v>0</v>
      </c>
      <c r="N14" s="2">
        <v>34.700000000000003</v>
      </c>
      <c r="O14" s="2">
        <v>200</v>
      </c>
      <c r="P14" s="45">
        <v>0.33333333333333331</v>
      </c>
      <c r="Q14" s="10"/>
      <c r="R14" s="41"/>
      <c r="S14" s="30">
        <f t="shared" si="3"/>
        <v>9.0310000000000024</v>
      </c>
      <c r="T14" s="30">
        <v>8</v>
      </c>
      <c r="U14" s="30">
        <f t="shared" si="4"/>
        <v>0.19999999999999574</v>
      </c>
      <c r="V14" s="30">
        <f t="shared" si="13"/>
        <v>0.16672212978369028</v>
      </c>
      <c r="W14" s="30">
        <f t="shared" si="5"/>
        <v>3.3277870216305461E-2</v>
      </c>
      <c r="X14" s="30">
        <f>V14+V13+V12+V11+V10+V9+V8+V7+V6</f>
        <v>4.2514143094841881</v>
      </c>
      <c r="Y14" s="30">
        <f t="shared" si="14"/>
        <v>1.3985856905158123</v>
      </c>
      <c r="Z14" s="30">
        <f t="shared" si="6"/>
        <v>9.0642778702163085</v>
      </c>
      <c r="AA14" s="31">
        <f t="shared" si="7"/>
        <v>0.15429642719927303</v>
      </c>
      <c r="AC14" s="18"/>
      <c r="AD14" s="18"/>
      <c r="AE14" s="24"/>
      <c r="AF14" s="25"/>
      <c r="AG14" s="19">
        <v>5</v>
      </c>
      <c r="AH14" s="19">
        <f t="shared" si="8"/>
        <v>0</v>
      </c>
      <c r="AI14" s="19">
        <f t="shared" si="0"/>
        <v>76</v>
      </c>
      <c r="AJ14" s="21">
        <v>0.28699999999999998</v>
      </c>
      <c r="AK14" s="19">
        <f t="shared" si="9"/>
        <v>4.9141345399999994E-2</v>
      </c>
      <c r="AL14" s="19">
        <f t="shared" si="10"/>
        <v>7.6324143094841936</v>
      </c>
      <c r="AM14" s="19">
        <f t="shared" si="11"/>
        <v>183.77600219305359</v>
      </c>
      <c r="AN14" s="19">
        <f t="shared" si="1"/>
        <v>155.3155341466128</v>
      </c>
      <c r="AO14" s="19">
        <f t="shared" si="12"/>
        <v>0.1824474108443076</v>
      </c>
      <c r="AP14" s="19">
        <f t="shared" si="2"/>
        <v>183.77600219305359</v>
      </c>
      <c r="AQ14" s="35"/>
      <c r="AT14" s="10"/>
      <c r="AU14" s="10"/>
      <c r="AV14" s="10"/>
      <c r="AW14" s="10"/>
    </row>
    <row r="15" spans="2:49" x14ac:dyDescent="0.25">
      <c r="B15" s="3" t="s">
        <v>103</v>
      </c>
      <c r="C15" s="5">
        <v>23.7</v>
      </c>
      <c r="D15" s="2">
        <v>10</v>
      </c>
      <c r="E15" s="2">
        <v>10</v>
      </c>
      <c r="F15" s="2">
        <v>10</v>
      </c>
      <c r="G15" s="2">
        <v>20</v>
      </c>
      <c r="H15" s="2">
        <v>4.5999999999999996</v>
      </c>
      <c r="I15" s="2">
        <v>1</v>
      </c>
      <c r="J15" s="2">
        <v>0</v>
      </c>
      <c r="K15" s="2">
        <v>2.8</v>
      </c>
      <c r="L15" s="2">
        <v>0</v>
      </c>
      <c r="M15" s="2">
        <v>0</v>
      </c>
      <c r="N15" s="2">
        <v>34.6</v>
      </c>
      <c r="O15" s="2">
        <v>100</v>
      </c>
      <c r="P15" s="45">
        <v>0.35486111111111113</v>
      </c>
      <c r="Q15" s="10"/>
      <c r="R15" s="41"/>
      <c r="S15" s="30">
        <f t="shared" si="3"/>
        <v>8.9310000000000009</v>
      </c>
      <c r="T15" s="30">
        <v>9</v>
      </c>
      <c r="U15" s="30">
        <f t="shared" si="4"/>
        <v>0.10000000000000142</v>
      </c>
      <c r="V15" s="30">
        <f t="shared" si="13"/>
        <v>8.3361064891848108E-2</v>
      </c>
      <c r="W15" s="30">
        <f t="shared" si="5"/>
        <v>1.6638935108153313E-2</v>
      </c>
      <c r="X15" s="30">
        <f>V15+V14+V13+V12+V11+V10+V9+V8+V7+V6</f>
        <v>4.3347753743760364</v>
      </c>
      <c r="Y15" s="30">
        <f t="shared" si="14"/>
        <v>1.3152246256239639</v>
      </c>
      <c r="Z15" s="30">
        <f t="shared" si="6"/>
        <v>8.947638935108154</v>
      </c>
      <c r="AA15" s="31">
        <f t="shared" si="7"/>
        <v>0.14699124932985086</v>
      </c>
      <c r="AC15" s="18"/>
      <c r="AD15" s="18"/>
      <c r="AE15" s="24"/>
      <c r="AF15" s="25"/>
      <c r="AG15" s="19">
        <v>5</v>
      </c>
      <c r="AH15" s="19">
        <f t="shared" si="8"/>
        <v>0</v>
      </c>
      <c r="AI15" s="19">
        <f t="shared" si="0"/>
        <v>76</v>
      </c>
      <c r="AJ15" s="21">
        <v>0.28699999999999998</v>
      </c>
      <c r="AK15" s="19">
        <f t="shared" si="9"/>
        <v>4.9141345399999994E-2</v>
      </c>
      <c r="AL15" s="19">
        <f t="shared" si="10"/>
        <v>7.6157753743760406</v>
      </c>
      <c r="AM15" s="19">
        <f t="shared" si="11"/>
        <v>181.74105587267869</v>
      </c>
      <c r="AN15" s="19">
        <f t="shared" si="1"/>
        <v>154.97694074887988</v>
      </c>
      <c r="AO15" s="19">
        <f t="shared" si="12"/>
        <v>0.17232091606841096</v>
      </c>
      <c r="AP15" s="19">
        <f t="shared" si="2"/>
        <v>181.74105587267869</v>
      </c>
      <c r="AQ15" s="35"/>
      <c r="AT15" s="10"/>
      <c r="AU15" s="10"/>
      <c r="AV15" s="10"/>
      <c r="AW15" s="10"/>
    </row>
    <row r="16" spans="2:49" x14ac:dyDescent="0.25">
      <c r="B16" s="3" t="s">
        <v>104</v>
      </c>
      <c r="C16" s="5">
        <v>9.1999999999999993</v>
      </c>
      <c r="D16" s="2">
        <v>11</v>
      </c>
      <c r="E16" s="2">
        <v>11</v>
      </c>
      <c r="F16" s="2">
        <v>11</v>
      </c>
      <c r="G16" s="2">
        <v>20</v>
      </c>
      <c r="H16" s="2">
        <v>4.3</v>
      </c>
      <c r="I16" s="2">
        <v>2</v>
      </c>
      <c r="J16" s="2">
        <v>0</v>
      </c>
      <c r="K16" s="2">
        <v>2.8</v>
      </c>
      <c r="L16" s="2">
        <v>0</v>
      </c>
      <c r="M16" s="2">
        <v>0</v>
      </c>
      <c r="N16" s="2">
        <v>34.5</v>
      </c>
      <c r="O16" s="2">
        <v>100</v>
      </c>
      <c r="P16" s="45">
        <v>0.31805555555555554</v>
      </c>
      <c r="Q16" s="10"/>
      <c r="R16" s="41"/>
      <c r="S16" s="30">
        <f t="shared" si="3"/>
        <v>8.8309999999999995</v>
      </c>
      <c r="T16" s="30">
        <v>10</v>
      </c>
      <c r="U16" s="30">
        <f t="shared" si="4"/>
        <v>0.10000000000000142</v>
      </c>
      <c r="V16" s="30">
        <f t="shared" si="13"/>
        <v>8.3361064891848108E-2</v>
      </c>
      <c r="W16" s="30">
        <f t="shared" si="5"/>
        <v>1.6638935108153313E-2</v>
      </c>
      <c r="X16" s="30">
        <f>V16+V15+V14+V13+V12+V11+V10+V9+V8+V7+V6</f>
        <v>4.4181364392678848</v>
      </c>
      <c r="Y16" s="30">
        <f t="shared" si="14"/>
        <v>1.2318635607321156</v>
      </c>
      <c r="Z16" s="30">
        <f t="shared" si="6"/>
        <v>8.8476389351081526</v>
      </c>
      <c r="AA16" s="31">
        <f t="shared" si="7"/>
        <v>0.13923076763948633</v>
      </c>
      <c r="AC16" s="18"/>
      <c r="AD16" s="18"/>
      <c r="AE16" s="24"/>
      <c r="AF16" s="25"/>
      <c r="AG16" s="19">
        <v>6</v>
      </c>
      <c r="AH16" s="19">
        <f t="shared" si="8"/>
        <v>1</v>
      </c>
      <c r="AI16" s="19">
        <f t="shared" si="0"/>
        <v>75</v>
      </c>
      <c r="AJ16" s="21">
        <v>0.28699999999999998</v>
      </c>
      <c r="AK16" s="19">
        <f t="shared" si="9"/>
        <v>4.8494748749999997E-2</v>
      </c>
      <c r="AL16" s="19">
        <f t="shared" si="10"/>
        <v>7.5991364392678875</v>
      </c>
      <c r="AM16" s="19">
        <f t="shared" si="11"/>
        <v>182.10219101300117</v>
      </c>
      <c r="AN16" s="19">
        <f t="shared" si="1"/>
        <v>156.7001919824956</v>
      </c>
      <c r="AO16" s="19">
        <f t="shared" si="12"/>
        <v>0.1617515617486345</v>
      </c>
      <c r="AP16" s="19">
        <f t="shared" si="2"/>
        <v>182.10219101300117</v>
      </c>
      <c r="AQ16" s="35"/>
      <c r="AT16" s="10"/>
      <c r="AU16" s="10"/>
      <c r="AV16" s="10"/>
      <c r="AW16" s="10"/>
    </row>
    <row r="17" spans="2:49" x14ac:dyDescent="0.25">
      <c r="B17" s="6" t="s">
        <v>105</v>
      </c>
      <c r="C17" s="5">
        <v>24.5</v>
      </c>
      <c r="D17" s="2">
        <v>11</v>
      </c>
      <c r="E17" s="2">
        <v>11</v>
      </c>
      <c r="F17" s="2">
        <v>11</v>
      </c>
      <c r="G17" s="2">
        <v>20</v>
      </c>
      <c r="H17" s="2">
        <v>4.3</v>
      </c>
      <c r="I17" s="2">
        <v>2</v>
      </c>
      <c r="J17" s="2">
        <v>0</v>
      </c>
      <c r="K17" s="2">
        <v>2.7</v>
      </c>
      <c r="L17" s="2">
        <v>0</v>
      </c>
      <c r="M17" s="2">
        <v>0</v>
      </c>
      <c r="N17" s="2">
        <v>34.4</v>
      </c>
      <c r="O17" s="2">
        <v>100</v>
      </c>
      <c r="P17" s="45">
        <v>0.31875000000000003</v>
      </c>
      <c r="Q17" s="10"/>
      <c r="R17" s="41"/>
      <c r="S17" s="30">
        <f t="shared" si="3"/>
        <v>8.7309999999999981</v>
      </c>
      <c r="T17" s="30">
        <v>11</v>
      </c>
      <c r="U17" s="30">
        <f t="shared" si="4"/>
        <v>0.10000000000000142</v>
      </c>
      <c r="V17" s="30">
        <f t="shared" si="13"/>
        <v>8.3361064891848108E-2</v>
      </c>
      <c r="W17" s="30">
        <f t="shared" si="5"/>
        <v>1.6638935108153313E-2</v>
      </c>
      <c r="X17" s="30">
        <f>V17+V16+V15+V14+V13+V12+V11+V10+V9+V8+V7+V6</f>
        <v>4.5014975041597323</v>
      </c>
      <c r="Y17" s="30">
        <f t="shared" si="14"/>
        <v>1.1485024958402681</v>
      </c>
      <c r="Z17" s="30">
        <f t="shared" si="6"/>
        <v>8.7476389351081512</v>
      </c>
      <c r="AA17" s="31">
        <f t="shared" si="7"/>
        <v>0.13129285563340054</v>
      </c>
      <c r="AC17" s="18"/>
      <c r="AD17" s="18"/>
      <c r="AE17" s="24"/>
      <c r="AF17" s="25"/>
      <c r="AG17" s="19">
        <v>6</v>
      </c>
      <c r="AH17" s="19">
        <f t="shared" si="8"/>
        <v>0</v>
      </c>
      <c r="AI17" s="19">
        <f t="shared" si="0"/>
        <v>76</v>
      </c>
      <c r="AJ17" s="21">
        <v>0.28699999999999998</v>
      </c>
      <c r="AK17" s="19">
        <f t="shared" si="9"/>
        <v>4.9141345399999994E-2</v>
      </c>
      <c r="AL17" s="19">
        <f t="shared" si="10"/>
        <v>7.5824975041597344</v>
      </c>
      <c r="AM17" s="19">
        <f t="shared" si="11"/>
        <v>177.67116323192892</v>
      </c>
      <c r="AN17" s="19">
        <f t="shared" si="1"/>
        <v>154.29975395341404</v>
      </c>
      <c r="AO17" s="19">
        <f t="shared" si="12"/>
        <v>0.1511359224852814</v>
      </c>
      <c r="AP17" s="19">
        <f t="shared" si="2"/>
        <v>177.67116323192892</v>
      </c>
      <c r="AQ17" s="35"/>
      <c r="AT17" s="10"/>
      <c r="AU17" s="10"/>
      <c r="AV17" s="10"/>
      <c r="AW17" s="10"/>
    </row>
    <row r="18" spans="2:49" x14ac:dyDescent="0.25">
      <c r="B18" s="3" t="s">
        <v>106</v>
      </c>
      <c r="C18" s="5">
        <v>25.1</v>
      </c>
      <c r="D18" s="2">
        <v>11</v>
      </c>
      <c r="E18" s="2">
        <v>11</v>
      </c>
      <c r="F18" s="2">
        <v>11</v>
      </c>
      <c r="G18" s="2">
        <v>20</v>
      </c>
      <c r="H18" s="2">
        <v>4.0999999999999996</v>
      </c>
      <c r="I18" s="2">
        <v>2</v>
      </c>
      <c r="J18" s="2">
        <v>0</v>
      </c>
      <c r="K18" s="2">
        <v>2.7</v>
      </c>
      <c r="L18" s="2">
        <v>0</v>
      </c>
      <c r="M18" s="2">
        <v>0</v>
      </c>
      <c r="N18" s="2">
        <v>34.299999999999997</v>
      </c>
      <c r="O18" s="2">
        <v>100</v>
      </c>
      <c r="P18" s="45">
        <v>0.31736111111111115</v>
      </c>
      <c r="Q18" s="10"/>
      <c r="R18" s="41"/>
      <c r="S18" s="30">
        <f t="shared" si="3"/>
        <v>8.6309999999999967</v>
      </c>
      <c r="T18" s="30">
        <v>12</v>
      </c>
      <c r="U18" s="30">
        <f t="shared" si="4"/>
        <v>0.10000000000000142</v>
      </c>
      <c r="V18" s="30">
        <f t="shared" si="13"/>
        <v>8.3361064891848108E-2</v>
      </c>
      <c r="W18" s="30">
        <f t="shared" si="5"/>
        <v>1.6638935108153313E-2</v>
      </c>
      <c r="X18" s="30">
        <f>V18+V17+V16+V15+V14+V13+V12+V11+V10+V9+V8+V7+V6</f>
        <v>4.5848585690515806</v>
      </c>
      <c r="Y18" s="30">
        <f t="shared" si="14"/>
        <v>1.0651414309484197</v>
      </c>
      <c r="Z18" s="30">
        <f t="shared" si="6"/>
        <v>8.6476389351081497</v>
      </c>
      <c r="AA18" s="31">
        <f t="shared" si="7"/>
        <v>0.12317135797889309</v>
      </c>
      <c r="AC18" s="18"/>
      <c r="AD18" s="18"/>
      <c r="AE18" s="24"/>
      <c r="AF18" s="25"/>
      <c r="AG18" s="19">
        <v>6</v>
      </c>
      <c r="AH18" s="19">
        <f t="shared" si="8"/>
        <v>0</v>
      </c>
      <c r="AI18" s="19">
        <f t="shared" si="0"/>
        <v>76</v>
      </c>
      <c r="AJ18" s="21">
        <v>0.28699999999999998</v>
      </c>
      <c r="AK18" s="19">
        <f t="shared" si="9"/>
        <v>4.9141345399999994E-2</v>
      </c>
      <c r="AL18" s="19">
        <f t="shared" si="10"/>
        <v>7.5658585690515814</v>
      </c>
      <c r="AM18" s="19">
        <f t="shared" si="11"/>
        <v>175.63621691155402</v>
      </c>
      <c r="AN18" s="19">
        <f t="shared" si="1"/>
        <v>153.96116055568112</v>
      </c>
      <c r="AO18" s="19">
        <f t="shared" si="12"/>
        <v>0.14047369357709477</v>
      </c>
      <c r="AP18" s="19">
        <f t="shared" si="2"/>
        <v>175.63621691155402</v>
      </c>
      <c r="AQ18" s="35"/>
      <c r="AT18" s="10"/>
      <c r="AU18" s="10"/>
      <c r="AV18" s="10"/>
      <c r="AW18" s="10"/>
    </row>
    <row r="19" spans="2:49" x14ac:dyDescent="0.25">
      <c r="B19" s="3" t="s">
        <v>107</v>
      </c>
      <c r="C19" s="5">
        <v>25.5</v>
      </c>
      <c r="D19" s="2">
        <v>11</v>
      </c>
      <c r="E19" s="2">
        <v>11</v>
      </c>
      <c r="F19" s="2">
        <v>11</v>
      </c>
      <c r="G19" s="2">
        <v>20</v>
      </c>
      <c r="H19" s="2">
        <v>4.4000000000000004</v>
      </c>
      <c r="I19" s="2">
        <v>2</v>
      </c>
      <c r="J19" s="2">
        <v>0</v>
      </c>
      <c r="K19" s="2">
        <v>2.8</v>
      </c>
      <c r="L19" s="2">
        <v>0</v>
      </c>
      <c r="M19" s="2">
        <v>0</v>
      </c>
      <c r="N19" s="2">
        <v>34.200000000000003</v>
      </c>
      <c r="O19" s="2">
        <v>100</v>
      </c>
      <c r="P19" s="45">
        <v>0.31666666666666665</v>
      </c>
      <c r="Q19" s="10"/>
      <c r="R19" s="41"/>
      <c r="S19" s="30">
        <f t="shared" si="3"/>
        <v>8.5310000000000024</v>
      </c>
      <c r="T19" s="30">
        <v>13</v>
      </c>
      <c r="U19" s="30">
        <f t="shared" si="4"/>
        <v>9.9999999999994316E-2</v>
      </c>
      <c r="V19" s="30">
        <f t="shared" si="13"/>
        <v>8.3361064891842182E-2</v>
      </c>
      <c r="W19" s="30">
        <f t="shared" si="5"/>
        <v>1.6638935108152134E-2</v>
      </c>
      <c r="X19" s="30">
        <f>V19+V18+V17+V16+V15+V14+V13+V12+V11+V10+V9+V8+V7+V6</f>
        <v>4.6682196339434228</v>
      </c>
      <c r="Y19" s="30">
        <f t="shared" si="14"/>
        <v>0.98178036605657759</v>
      </c>
      <c r="Z19" s="30">
        <f t="shared" si="6"/>
        <v>8.5476389351081536</v>
      </c>
      <c r="AA19" s="31">
        <f t="shared" si="7"/>
        <v>0.11485983129493935</v>
      </c>
      <c r="AC19" s="18"/>
      <c r="AD19" s="18"/>
      <c r="AG19" s="19">
        <v>6</v>
      </c>
      <c r="AH19" s="19">
        <f t="shared" si="8"/>
        <v>0</v>
      </c>
      <c r="AI19" s="19">
        <f t="shared" si="0"/>
        <v>76</v>
      </c>
      <c r="AJ19" s="21">
        <v>0.28699999999999998</v>
      </c>
      <c r="AK19" s="19">
        <f t="shared" si="9"/>
        <v>4.9141345399999994E-2</v>
      </c>
      <c r="AL19" s="19">
        <f t="shared" si="10"/>
        <v>7.5492196339434292</v>
      </c>
      <c r="AM19" s="19">
        <f t="shared" si="11"/>
        <v>173.60127059117929</v>
      </c>
      <c r="AN19" s="19">
        <f t="shared" si="1"/>
        <v>153.62256715794823</v>
      </c>
      <c r="AO19" s="19">
        <f t="shared" si="12"/>
        <v>0.12976456764240696</v>
      </c>
      <c r="AP19" s="19">
        <f t="shared" si="2"/>
        <v>173.60127059117929</v>
      </c>
      <c r="AQ19" s="35"/>
      <c r="AT19" s="10"/>
      <c r="AU19" s="10"/>
      <c r="AV19" s="10"/>
      <c r="AW19" s="10"/>
    </row>
    <row r="20" spans="2:49" x14ac:dyDescent="0.25">
      <c r="B20" s="3" t="s">
        <v>108</v>
      </c>
      <c r="C20" s="5">
        <v>24.2</v>
      </c>
      <c r="D20" s="2">
        <v>11</v>
      </c>
      <c r="E20" s="2">
        <v>11</v>
      </c>
      <c r="F20" s="2">
        <v>11</v>
      </c>
      <c r="G20" s="2">
        <v>20</v>
      </c>
      <c r="H20" s="2">
        <v>4.0999999999999996</v>
      </c>
      <c r="I20" s="2">
        <v>0</v>
      </c>
      <c r="J20" s="2">
        <v>0</v>
      </c>
      <c r="K20" s="2">
        <v>2.8</v>
      </c>
      <c r="L20" s="2">
        <v>0</v>
      </c>
      <c r="M20" s="2">
        <v>0</v>
      </c>
      <c r="N20" s="2">
        <v>34.1</v>
      </c>
      <c r="O20" s="2">
        <v>100</v>
      </c>
      <c r="P20" s="45">
        <v>0.32291666666666669</v>
      </c>
      <c r="Q20" s="39"/>
      <c r="R20" s="41"/>
      <c r="S20" s="30">
        <f t="shared" si="3"/>
        <v>8.4310000000000009</v>
      </c>
      <c r="T20" s="30">
        <v>14</v>
      </c>
      <c r="U20" s="30">
        <f t="shared" si="4"/>
        <v>0.10000000000000142</v>
      </c>
      <c r="V20" s="30">
        <f t="shared" si="13"/>
        <v>8.3361064891848108E-2</v>
      </c>
      <c r="W20" s="30">
        <f t="shared" si="5"/>
        <v>1.6638935108153313E-2</v>
      </c>
      <c r="X20" s="30">
        <f>V20+V19+V18+V17+V16+V15+V14+V13+V12+V11+V10+V9+V8+V7+V6</f>
        <v>4.7515806988352711</v>
      </c>
      <c r="Y20" s="30">
        <f t="shared" si="14"/>
        <v>0.89841930116472923</v>
      </c>
      <c r="Z20" s="30">
        <f t="shared" si="6"/>
        <v>8.447638935108154</v>
      </c>
      <c r="AA20" s="31">
        <f t="shared" si="7"/>
        <v>0.10635152710314398</v>
      </c>
      <c r="AE20" s="26" t="s">
        <v>310</v>
      </c>
      <c r="AF20" s="27">
        <v>1450</v>
      </c>
      <c r="AG20" s="19">
        <v>6</v>
      </c>
      <c r="AH20" s="19">
        <f t="shared" si="8"/>
        <v>0</v>
      </c>
      <c r="AI20" s="19">
        <f t="shared" si="0"/>
        <v>76</v>
      </c>
      <c r="AJ20" s="21">
        <v>1.2869999999999999</v>
      </c>
      <c r="AK20" s="19">
        <f t="shared" si="9"/>
        <v>4.9141345399999994E-2</v>
      </c>
      <c r="AL20" s="19">
        <f t="shared" si="10"/>
        <v>7.5325806988352761</v>
      </c>
      <c r="AM20" s="19">
        <f t="shared" si="11"/>
        <v>171.56632427080439</v>
      </c>
      <c r="AN20" s="19">
        <f t="shared" si="1"/>
        <v>153.2839737602153</v>
      </c>
      <c r="AO20" s="19">
        <f t="shared" si="12"/>
        <v>0.11900823458959681</v>
      </c>
      <c r="AP20" s="19">
        <f t="shared" si="2"/>
        <v>171.56632427080439</v>
      </c>
      <c r="AQ20" s="35"/>
      <c r="AT20" s="10"/>
      <c r="AU20" s="10"/>
      <c r="AV20" s="10"/>
      <c r="AW20" s="10"/>
    </row>
    <row r="21" spans="2:49" x14ac:dyDescent="0.25">
      <c r="B21" s="39"/>
      <c r="C21" s="3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42"/>
      <c r="Q21" s="10"/>
      <c r="R21" s="42"/>
      <c r="S21" s="30"/>
      <c r="T21" s="30"/>
      <c r="U21" s="30"/>
      <c r="V21" s="30"/>
      <c r="W21" s="30"/>
      <c r="X21" s="30"/>
      <c r="Y21" s="30"/>
      <c r="Z21" s="30"/>
      <c r="AA21" s="31"/>
      <c r="AG21" s="19"/>
      <c r="AH21" s="19"/>
      <c r="AI21" s="19"/>
      <c r="AJ21" s="21"/>
      <c r="AK21" s="19"/>
      <c r="AL21" s="19"/>
      <c r="AM21" s="19"/>
      <c r="AN21" s="19"/>
      <c r="AO21" s="19"/>
      <c r="AP21" s="19"/>
      <c r="AQ21" s="35"/>
      <c r="AT21" s="10"/>
      <c r="AU21" s="10"/>
      <c r="AV21" s="10"/>
    </row>
    <row r="22" spans="2:49" x14ac:dyDescent="0.25">
      <c r="B22" s="39"/>
      <c r="C22" s="3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42"/>
      <c r="Q22" s="10"/>
      <c r="R22" s="42"/>
      <c r="S22" s="30"/>
      <c r="T22" s="30"/>
      <c r="U22" s="30"/>
      <c r="V22" s="30"/>
      <c r="W22" s="30"/>
      <c r="X22" s="30"/>
      <c r="Y22" s="30"/>
      <c r="Z22" s="30"/>
      <c r="AA22" s="31"/>
      <c r="AG22" s="19"/>
      <c r="AH22" s="19"/>
      <c r="AI22" s="19"/>
      <c r="AJ22" s="21"/>
      <c r="AK22" s="19"/>
      <c r="AL22" s="19"/>
      <c r="AM22" s="19"/>
      <c r="AN22" s="19"/>
      <c r="AO22" s="19"/>
      <c r="AP22" s="19"/>
      <c r="AQ22" s="35"/>
      <c r="AT22" s="10"/>
      <c r="AU22" s="10"/>
      <c r="AV22" s="10"/>
    </row>
    <row r="23" spans="2:49" x14ac:dyDescent="0.25">
      <c r="B23" s="63" t="s">
        <v>303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10"/>
      <c r="R23" s="42"/>
      <c r="S23" s="63" t="s">
        <v>305</v>
      </c>
      <c r="T23" s="63"/>
      <c r="U23" s="63"/>
      <c r="V23" s="63"/>
      <c r="W23" s="63"/>
      <c r="X23" s="63"/>
      <c r="Y23" s="63"/>
      <c r="Z23" s="63"/>
      <c r="AA23" s="63"/>
      <c r="AG23" s="63" t="s">
        <v>305</v>
      </c>
      <c r="AH23" s="63"/>
      <c r="AI23" s="63"/>
      <c r="AJ23" s="63"/>
      <c r="AK23" s="63"/>
      <c r="AL23" s="63"/>
      <c r="AM23" s="63"/>
      <c r="AN23" s="63"/>
      <c r="AO23" s="63"/>
      <c r="AP23" s="63"/>
      <c r="AQ23" s="35"/>
      <c r="AT23" s="10"/>
      <c r="AU23" s="10"/>
      <c r="AV23" s="10"/>
    </row>
    <row r="24" spans="2:49" x14ac:dyDescent="0.25">
      <c r="B24" s="39"/>
      <c r="C24" s="3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42"/>
      <c r="Q24" s="10"/>
      <c r="R24" s="42"/>
      <c r="S24" s="30"/>
      <c r="T24" s="30"/>
      <c r="U24" s="30"/>
      <c r="V24" s="30"/>
      <c r="W24" s="30"/>
      <c r="X24" s="30"/>
      <c r="Y24" s="30"/>
      <c r="Z24" s="30"/>
      <c r="AA24" s="31"/>
      <c r="AG24" s="19"/>
      <c r="AH24" s="19"/>
      <c r="AI24" s="19"/>
      <c r="AJ24" s="21"/>
      <c r="AK24" s="19"/>
      <c r="AL24" s="19"/>
      <c r="AM24" s="19"/>
      <c r="AN24" s="19"/>
      <c r="AO24" s="19"/>
      <c r="AP24" s="19"/>
      <c r="AQ24" s="35"/>
      <c r="AT24" s="10"/>
      <c r="AU24" s="10"/>
      <c r="AV24" s="10"/>
    </row>
    <row r="25" spans="2:49" x14ac:dyDescent="0.25">
      <c r="B25" s="39"/>
      <c r="C25" s="3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42"/>
      <c r="Q25" s="10"/>
      <c r="R25" s="42"/>
      <c r="S25" t="s">
        <v>313</v>
      </c>
      <c r="X25" s="8">
        <v>5.65</v>
      </c>
      <c r="Y25" s="30"/>
      <c r="Z25" s="30"/>
      <c r="AA25" s="31"/>
      <c r="AG25" s="19"/>
      <c r="AH25" s="19"/>
      <c r="AI25" s="19"/>
      <c r="AJ25" s="21"/>
      <c r="AK25" s="19"/>
      <c r="AL25" s="19"/>
      <c r="AM25" s="19"/>
      <c r="AN25" s="19"/>
      <c r="AO25" s="19"/>
      <c r="AP25" s="19"/>
      <c r="AQ25" s="35"/>
      <c r="AT25" s="10"/>
      <c r="AU25" s="10"/>
      <c r="AV25" s="10"/>
    </row>
    <row r="26" spans="2:49" x14ac:dyDescent="0.25">
      <c r="B26" s="39"/>
      <c r="C26" s="3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2"/>
      <c r="Q26" s="10"/>
      <c r="R26" s="42"/>
      <c r="S26" t="s">
        <v>312</v>
      </c>
      <c r="X26" s="8">
        <v>0.76300000000000001</v>
      </c>
      <c r="Y26" s="30"/>
      <c r="Z26" s="30"/>
      <c r="AA26" s="31"/>
      <c r="AG26" s="19"/>
      <c r="AH26" s="19"/>
      <c r="AI26" s="19"/>
      <c r="AJ26" s="21"/>
      <c r="AK26" s="19"/>
      <c r="AL26" s="19"/>
      <c r="AM26" s="19"/>
      <c r="AN26" s="19"/>
      <c r="AO26" s="19"/>
      <c r="AP26" s="19"/>
      <c r="AQ26" s="35"/>
      <c r="AT26" s="10"/>
      <c r="AU26" s="10"/>
      <c r="AV26" s="10"/>
    </row>
    <row r="27" spans="2:49" x14ac:dyDescent="0.25">
      <c r="B27" s="39"/>
      <c r="C27" s="3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42"/>
      <c r="S27" t="s">
        <v>311</v>
      </c>
      <c r="X27" s="8">
        <f>S6-S20</f>
        <v>5.6999999999999957</v>
      </c>
      <c r="Y27" s="30"/>
      <c r="Z27" s="30"/>
      <c r="AA27" s="31"/>
      <c r="AG27" s="19"/>
      <c r="AH27" s="19"/>
      <c r="AI27" s="19"/>
      <c r="AJ27" s="21"/>
      <c r="AK27" s="19"/>
      <c r="AL27" s="19"/>
      <c r="AM27" s="19"/>
      <c r="AN27" s="19"/>
      <c r="AO27" s="19"/>
      <c r="AP27" s="19"/>
      <c r="AQ27" s="35"/>
      <c r="AT27" s="10"/>
      <c r="AU27" s="10"/>
      <c r="AV27" s="10"/>
    </row>
    <row r="28" spans="2:49" x14ac:dyDescent="0.25">
      <c r="S28" t="s">
        <v>314</v>
      </c>
      <c r="X28" s="8">
        <f>X25-X26</f>
        <v>4.8870000000000005</v>
      </c>
      <c r="AQ28" s="35"/>
    </row>
    <row r="29" spans="2:49" x14ac:dyDescent="0.25">
      <c r="S29" t="s">
        <v>315</v>
      </c>
      <c r="X29" s="8">
        <f>X27-X28</f>
        <v>0.81299999999999528</v>
      </c>
      <c r="AQ29" s="35"/>
    </row>
    <row r="30" spans="2:49" x14ac:dyDescent="0.25">
      <c r="AQ30" s="35"/>
    </row>
    <row r="31" spans="2:49" x14ac:dyDescent="0.25">
      <c r="S31" t="s">
        <v>316</v>
      </c>
      <c r="X31" s="29">
        <f>X28/X29</f>
        <v>6.0110701107011426</v>
      </c>
      <c r="AQ31" s="35"/>
    </row>
    <row r="32" spans="2:49" x14ac:dyDescent="0.25">
      <c r="AQ32" s="35"/>
    </row>
    <row r="33" spans="1:43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4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8"/>
    </row>
    <row r="35" spans="1:43" x14ac:dyDescent="0.25">
      <c r="Y35" s="18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10" spans="46:46" x14ac:dyDescent="0.25">
      <c r="AT410" s="7"/>
    </row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54" spans="46:46" x14ac:dyDescent="0.25">
      <c r="AT554" s="7"/>
    </row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84" spans="46:46" x14ac:dyDescent="0.25">
      <c r="AT684" s="7"/>
    </row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</sheetData>
  <mergeCells count="3">
    <mergeCell ref="B23:P23"/>
    <mergeCell ref="S23:AA23"/>
    <mergeCell ref="AG23:AP2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91F14-F00F-4F01-BDD1-ADE6DD81B2E1}">
  <dimension ref="A1:AW1233"/>
  <sheetViews>
    <sheetView zoomScaleNormal="100" workbookViewId="0">
      <selection activeCell="I42" sqref="I42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2.2851562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</cols>
  <sheetData>
    <row r="1" spans="2:49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9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9" x14ac:dyDescent="0.25">
      <c r="L3" s="9"/>
      <c r="M3" s="10"/>
      <c r="AQ3" s="35"/>
    </row>
    <row r="4" spans="2:49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353</v>
      </c>
      <c r="W4" s="17" t="s">
        <v>354</v>
      </c>
      <c r="X4" s="17" t="s">
        <v>355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9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9" x14ac:dyDescent="0.25">
      <c r="B6" s="12" t="s">
        <v>109</v>
      </c>
      <c r="C6" s="13">
        <v>13.6</v>
      </c>
      <c r="D6" s="14">
        <v>5</v>
      </c>
      <c r="E6" s="14">
        <v>5</v>
      </c>
      <c r="F6" s="14">
        <v>5</v>
      </c>
      <c r="G6" s="14">
        <v>20</v>
      </c>
      <c r="H6" s="14">
        <v>0.1</v>
      </c>
      <c r="I6" s="14">
        <v>0</v>
      </c>
      <c r="J6" s="14">
        <v>0</v>
      </c>
      <c r="K6" s="14">
        <v>21</v>
      </c>
      <c r="L6" s="14">
        <v>0</v>
      </c>
      <c r="M6" s="14">
        <v>0</v>
      </c>
      <c r="N6" s="14">
        <v>38.5</v>
      </c>
      <c r="O6" s="14">
        <v>0</v>
      </c>
      <c r="P6" s="51">
        <v>0.51041666666666663</v>
      </c>
      <c r="Q6" s="10"/>
      <c r="R6" s="41"/>
      <c r="S6" s="30">
        <f>N6-25.815</f>
        <v>12.684999999999999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5.71</v>
      </c>
      <c r="Z6" s="30">
        <f>S6-V6</f>
        <v>12.684999999999999</v>
      </c>
      <c r="AA6" s="31">
        <f>Y6/Z6</f>
        <v>0.45013795821836822</v>
      </c>
      <c r="AC6" s="18"/>
      <c r="AD6" s="18">
        <v>1000</v>
      </c>
      <c r="AE6" s="22" t="s">
        <v>309</v>
      </c>
      <c r="AF6" s="23">
        <v>1410</v>
      </c>
      <c r="AG6" s="19">
        <v>0</v>
      </c>
      <c r="AH6" s="19">
        <v>0</v>
      </c>
      <c r="AI6" s="19">
        <f t="shared" ref="AI6:AI19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6.9749999999999996</v>
      </c>
      <c r="AM6" s="19">
        <f>S6/AK6</f>
        <v>258.13294073955086</v>
      </c>
      <c r="AN6" s="19">
        <f t="shared" ref="AN6:AN19" si="1">AL6/AK6</f>
        <v>141.93750584614642</v>
      </c>
      <c r="AO6" s="19">
        <f>(AA6/(1-AA6))</f>
        <v>0.81863799283154148</v>
      </c>
      <c r="AP6" s="19">
        <f t="shared" ref="AP6:AP19" si="2">AM6/(1+AQ6)</f>
        <v>258.13294073955086</v>
      </c>
      <c r="AQ6" s="35"/>
      <c r="AT6" s="48"/>
      <c r="AU6" s="48"/>
      <c r="AV6" s="48"/>
      <c r="AW6" s="10"/>
    </row>
    <row r="7" spans="2:49" x14ac:dyDescent="0.25">
      <c r="B7" s="12" t="s">
        <v>110</v>
      </c>
      <c r="C7" s="13">
        <v>12.7</v>
      </c>
      <c r="D7" s="14">
        <v>5</v>
      </c>
      <c r="E7" s="14">
        <v>5</v>
      </c>
      <c r="F7" s="14">
        <v>5</v>
      </c>
      <c r="G7" s="14">
        <v>20</v>
      </c>
      <c r="H7" s="14">
        <v>5.4</v>
      </c>
      <c r="I7" s="14">
        <v>0</v>
      </c>
      <c r="J7" s="14">
        <v>0</v>
      </c>
      <c r="K7" s="14">
        <v>2.1</v>
      </c>
      <c r="L7" s="14">
        <v>0</v>
      </c>
      <c r="M7" s="14">
        <v>0</v>
      </c>
      <c r="N7" s="14">
        <v>38.200000000000003</v>
      </c>
      <c r="O7" s="14">
        <v>300</v>
      </c>
      <c r="P7" s="51">
        <v>0.3298611111111111</v>
      </c>
      <c r="Q7" s="10"/>
      <c r="R7" s="41"/>
      <c r="S7" s="30">
        <f t="shared" ref="S7:S19" si="3">N7-25.815</f>
        <v>12.385000000000002</v>
      </c>
      <c r="T7" s="30">
        <v>1</v>
      </c>
      <c r="U7" s="30">
        <f t="shared" ref="U7:U19" si="4">S6-S7</f>
        <v>0.29999999999999716</v>
      </c>
      <c r="V7" s="30">
        <f>U7-(U7/5.57)</f>
        <v>0.24614003590664041</v>
      </c>
      <c r="W7" s="30">
        <f t="shared" ref="W7:W19" si="5">U7-V7</f>
        <v>5.3859964093356749E-2</v>
      </c>
      <c r="X7" s="30">
        <f>V7+V6</f>
        <v>0.24614003590664041</v>
      </c>
      <c r="Y7" s="30">
        <f>5.71-X7</f>
        <v>5.4638599640933592</v>
      </c>
      <c r="Z7" s="30">
        <f t="shared" ref="Z7:Z19" si="6">S6-V7</f>
        <v>12.438859964093359</v>
      </c>
      <c r="AA7" s="31">
        <f t="shared" ref="AA7:AA19" si="7">Y7/Z7</f>
        <v>0.4392572936640185</v>
      </c>
      <c r="AC7" s="18"/>
      <c r="AD7" s="18"/>
      <c r="AE7" s="24"/>
      <c r="AF7" s="25"/>
      <c r="AG7" s="19">
        <v>0</v>
      </c>
      <c r="AH7" s="19">
        <f t="shared" ref="AH7:AH19" si="8">AG7-AG6</f>
        <v>0</v>
      </c>
      <c r="AI7" s="19">
        <f t="shared" si="0"/>
        <v>76</v>
      </c>
      <c r="AJ7" s="21">
        <v>0.28699999999999998</v>
      </c>
      <c r="AK7" s="19">
        <f t="shared" ref="AK7:AK19" si="9">((($AJ$6*$AJ$6)*3.14)/4)*(AI7/100)</f>
        <v>4.9141345399999994E-2</v>
      </c>
      <c r="AL7" s="19">
        <f t="shared" ref="AL7:AL19" si="10">AL6-W7</f>
        <v>6.9211400359066433</v>
      </c>
      <c r="AM7" s="19">
        <f t="shared" ref="AM7:AM19" si="11">S7/AK7</f>
        <v>252.02810177842633</v>
      </c>
      <c r="AN7" s="19">
        <f t="shared" si="1"/>
        <v>140.84148448867344</v>
      </c>
      <c r="AO7" s="19">
        <f t="shared" ref="AO7:AO19" si="12">(AA7/(1-AA7))</f>
        <v>0.78334909879474679</v>
      </c>
      <c r="AP7" s="19">
        <f t="shared" si="2"/>
        <v>252.02810177842633</v>
      </c>
      <c r="AQ7" s="35"/>
      <c r="AT7" s="48"/>
      <c r="AU7" s="48"/>
      <c r="AV7" s="48"/>
      <c r="AW7" s="10"/>
    </row>
    <row r="8" spans="2:49" x14ac:dyDescent="0.25">
      <c r="B8" s="12" t="s">
        <v>111</v>
      </c>
      <c r="C8" s="13">
        <v>20</v>
      </c>
      <c r="D8" s="14">
        <v>6</v>
      </c>
      <c r="E8" s="14">
        <v>6</v>
      </c>
      <c r="F8" s="14">
        <v>6</v>
      </c>
      <c r="G8" s="14">
        <v>20</v>
      </c>
      <c r="H8" s="14">
        <v>66.400000000000006</v>
      </c>
      <c r="I8" s="14">
        <v>2</v>
      </c>
      <c r="J8" s="14">
        <v>0</v>
      </c>
      <c r="K8" s="14">
        <v>2.1</v>
      </c>
      <c r="L8" s="14">
        <v>0</v>
      </c>
      <c r="M8" s="14">
        <v>0</v>
      </c>
      <c r="N8" s="14">
        <v>37.6</v>
      </c>
      <c r="O8" s="14">
        <v>600</v>
      </c>
      <c r="P8" s="51">
        <v>0.31597222222222221</v>
      </c>
      <c r="Q8" s="10"/>
      <c r="R8" s="41"/>
      <c r="S8" s="30">
        <f t="shared" si="3"/>
        <v>11.785</v>
      </c>
      <c r="T8" s="30">
        <v>2</v>
      </c>
      <c r="U8" s="30">
        <f t="shared" si="4"/>
        <v>0.60000000000000142</v>
      </c>
      <c r="V8" s="30">
        <f t="shared" ref="V8:V19" si="13">U8-(U8/5.57)</f>
        <v>0.49228007181328665</v>
      </c>
      <c r="W8" s="30">
        <f t="shared" si="5"/>
        <v>0.10771992818671478</v>
      </c>
      <c r="X8" s="30">
        <f>V7+V8+V6</f>
        <v>0.73842010771992705</v>
      </c>
      <c r="Y8" s="30">
        <f t="shared" ref="Y8:Y19" si="14">5.71-X8</f>
        <v>4.9715798922800731</v>
      </c>
      <c r="Z8" s="30">
        <f t="shared" si="6"/>
        <v>11.892719928186715</v>
      </c>
      <c r="AA8" s="31">
        <f t="shared" si="7"/>
        <v>0.4180355648077631</v>
      </c>
      <c r="AC8" s="18"/>
      <c r="AD8" s="18"/>
      <c r="AE8" s="24"/>
      <c r="AF8" s="25"/>
      <c r="AG8" s="19">
        <v>1</v>
      </c>
      <c r="AH8" s="19">
        <f t="shared" si="8"/>
        <v>1</v>
      </c>
      <c r="AI8" s="19">
        <f t="shared" si="0"/>
        <v>75</v>
      </c>
      <c r="AJ8" s="21">
        <v>0.28699999999999998</v>
      </c>
      <c r="AK8" s="19">
        <f t="shared" si="9"/>
        <v>4.8494748749999997E-2</v>
      </c>
      <c r="AL8" s="19">
        <f t="shared" si="10"/>
        <v>6.8134201077199288</v>
      </c>
      <c r="AM8" s="19">
        <f t="shared" si="11"/>
        <v>243.01600284092618</v>
      </c>
      <c r="AN8" s="19">
        <f t="shared" si="1"/>
        <v>140.49810099737715</v>
      </c>
      <c r="AO8" s="19">
        <f t="shared" si="12"/>
        <v>0.718318061256915</v>
      </c>
      <c r="AP8" s="19">
        <f t="shared" si="2"/>
        <v>243.01600284092618</v>
      </c>
      <c r="AQ8" s="35"/>
      <c r="AT8" s="48"/>
      <c r="AU8" s="48"/>
      <c r="AV8" s="48"/>
      <c r="AW8" s="10"/>
    </row>
    <row r="9" spans="2:49" x14ac:dyDescent="0.25">
      <c r="B9" s="12" t="s">
        <v>112</v>
      </c>
      <c r="C9" s="13">
        <v>31.1</v>
      </c>
      <c r="D9" s="14">
        <v>7</v>
      </c>
      <c r="E9" s="14">
        <v>7</v>
      </c>
      <c r="F9" s="14">
        <v>7</v>
      </c>
      <c r="G9" s="14">
        <v>20</v>
      </c>
      <c r="H9" s="14">
        <v>95.1</v>
      </c>
      <c r="I9" s="14">
        <v>1</v>
      </c>
      <c r="J9" s="14">
        <v>0</v>
      </c>
      <c r="K9" s="14">
        <v>1.9</v>
      </c>
      <c r="L9" s="14">
        <v>0</v>
      </c>
      <c r="M9" s="14">
        <v>0</v>
      </c>
      <c r="N9" s="14">
        <v>35.799999999999997</v>
      </c>
      <c r="O9" s="14">
        <v>1800</v>
      </c>
      <c r="P9" s="51">
        <v>0.33749999999999997</v>
      </c>
      <c r="Q9" s="10"/>
      <c r="R9" s="41"/>
      <c r="S9" s="30">
        <f t="shared" si="3"/>
        <v>9.9849999999999959</v>
      </c>
      <c r="T9" s="30">
        <v>3</v>
      </c>
      <c r="U9" s="30">
        <f t="shared" si="4"/>
        <v>1.8000000000000043</v>
      </c>
      <c r="V9" s="30">
        <f t="shared" si="13"/>
        <v>1.4768402154398599</v>
      </c>
      <c r="W9" s="30">
        <f t="shared" si="5"/>
        <v>0.32315978456014438</v>
      </c>
      <c r="X9" s="30">
        <f>V9+V8+V7+V6</f>
        <v>2.2152603231597872</v>
      </c>
      <c r="Y9" s="30">
        <f t="shared" si="14"/>
        <v>3.4947396768402128</v>
      </c>
      <c r="Z9" s="30">
        <f t="shared" si="6"/>
        <v>10.308159784560139</v>
      </c>
      <c r="AA9" s="31">
        <f t="shared" si="7"/>
        <v>0.33902653333670041</v>
      </c>
      <c r="AC9" s="18"/>
      <c r="AD9" s="18"/>
      <c r="AE9" s="24"/>
      <c r="AF9" s="25"/>
      <c r="AG9" s="19">
        <v>2</v>
      </c>
      <c r="AH9" s="19">
        <f t="shared" si="8"/>
        <v>1</v>
      </c>
      <c r="AI9" s="19">
        <f t="shared" si="0"/>
        <v>75</v>
      </c>
      <c r="AJ9" s="21">
        <v>0.28699999999999998</v>
      </c>
      <c r="AK9" s="19">
        <f t="shared" si="9"/>
        <v>4.8494748749999997E-2</v>
      </c>
      <c r="AL9" s="19">
        <f t="shared" si="10"/>
        <v>6.4902603231597844</v>
      </c>
      <c r="AM9" s="19">
        <f t="shared" si="11"/>
        <v>205.89858195728866</v>
      </c>
      <c r="AN9" s="19">
        <f t="shared" si="1"/>
        <v>133.83429114394133</v>
      </c>
      <c r="AO9" s="19">
        <f t="shared" si="12"/>
        <v>0.51292003451842161</v>
      </c>
      <c r="AP9" s="19">
        <f t="shared" si="2"/>
        <v>205.89858195728866</v>
      </c>
      <c r="AQ9" s="35"/>
      <c r="AT9" s="48"/>
      <c r="AU9" s="48"/>
      <c r="AV9" s="48"/>
      <c r="AW9" s="10"/>
    </row>
    <row r="10" spans="2:49" x14ac:dyDescent="0.25">
      <c r="B10" s="12" t="s">
        <v>113</v>
      </c>
      <c r="C10" s="13">
        <v>21.6</v>
      </c>
      <c r="D10" s="14">
        <v>7</v>
      </c>
      <c r="E10" s="14">
        <v>7</v>
      </c>
      <c r="F10" s="14">
        <v>7</v>
      </c>
      <c r="G10" s="14">
        <v>20</v>
      </c>
      <c r="H10" s="14">
        <v>11.3</v>
      </c>
      <c r="I10" s="14">
        <v>2</v>
      </c>
      <c r="J10" s="14">
        <v>0</v>
      </c>
      <c r="K10" s="14">
        <v>1.9</v>
      </c>
      <c r="L10" s="14">
        <v>0</v>
      </c>
      <c r="M10" s="14">
        <v>0</v>
      </c>
      <c r="N10" s="14">
        <v>34.700000000000003</v>
      </c>
      <c r="O10" s="14">
        <v>1100</v>
      </c>
      <c r="P10" s="51">
        <v>0.36319444444444443</v>
      </c>
      <c r="Q10" s="10"/>
      <c r="R10" s="41"/>
      <c r="S10" s="30">
        <f t="shared" si="3"/>
        <v>8.8850000000000016</v>
      </c>
      <c r="T10" s="30">
        <v>4</v>
      </c>
      <c r="U10" s="30">
        <f t="shared" si="4"/>
        <v>1.0999999999999943</v>
      </c>
      <c r="V10" s="30">
        <f t="shared" si="13"/>
        <v>0.9025134649910187</v>
      </c>
      <c r="W10" s="30">
        <f t="shared" si="5"/>
        <v>0.19748653500897562</v>
      </c>
      <c r="X10" s="30">
        <f>V10+V9+V8+V7+V6</f>
        <v>3.1177737881508056</v>
      </c>
      <c r="Y10" s="30">
        <f t="shared" si="14"/>
        <v>2.5922262118491943</v>
      </c>
      <c r="Z10" s="30">
        <f t="shared" si="6"/>
        <v>9.082486535008977</v>
      </c>
      <c r="AA10" s="31">
        <f t="shared" si="7"/>
        <v>0.28540930964855343</v>
      </c>
      <c r="AC10" s="18"/>
      <c r="AD10" s="18"/>
      <c r="AE10" s="24"/>
      <c r="AF10" s="25"/>
      <c r="AG10" s="19">
        <v>2</v>
      </c>
      <c r="AH10" s="19">
        <f t="shared" si="8"/>
        <v>0</v>
      </c>
      <c r="AI10" s="19">
        <f t="shared" si="0"/>
        <v>76</v>
      </c>
      <c r="AJ10" s="21">
        <v>0.28699999999999998</v>
      </c>
      <c r="AK10" s="19">
        <f t="shared" si="9"/>
        <v>4.9141345399999994E-2</v>
      </c>
      <c r="AL10" s="19">
        <f t="shared" si="10"/>
        <v>6.292773788150809</v>
      </c>
      <c r="AM10" s="19">
        <f t="shared" si="11"/>
        <v>180.80498056530627</v>
      </c>
      <c r="AN10" s="19">
        <f t="shared" si="1"/>
        <v>128.05456865148852</v>
      </c>
      <c r="AO10" s="19">
        <f t="shared" si="12"/>
        <v>0.3994025020227801</v>
      </c>
      <c r="AP10" s="19">
        <f t="shared" si="2"/>
        <v>180.80498056530627</v>
      </c>
      <c r="AQ10" s="35"/>
      <c r="AT10" s="48"/>
      <c r="AU10" s="48"/>
      <c r="AV10" s="48"/>
      <c r="AW10" s="10"/>
    </row>
    <row r="11" spans="2:49" x14ac:dyDescent="0.25">
      <c r="B11" s="12" t="s">
        <v>114</v>
      </c>
      <c r="C11" s="13">
        <v>32.5</v>
      </c>
      <c r="D11" s="14">
        <v>7</v>
      </c>
      <c r="E11" s="14">
        <v>7</v>
      </c>
      <c r="F11" s="14">
        <v>7</v>
      </c>
      <c r="G11" s="14">
        <v>20</v>
      </c>
      <c r="H11" s="14">
        <v>25.7</v>
      </c>
      <c r="I11" s="14">
        <v>3</v>
      </c>
      <c r="J11" s="14">
        <v>0</v>
      </c>
      <c r="K11" s="14">
        <v>1.9</v>
      </c>
      <c r="L11" s="14">
        <v>0</v>
      </c>
      <c r="M11" s="14">
        <v>0</v>
      </c>
      <c r="N11" s="14">
        <v>34.1</v>
      </c>
      <c r="O11" s="14">
        <v>600</v>
      </c>
      <c r="P11" s="51">
        <v>0.31805555555555554</v>
      </c>
      <c r="Q11" s="10"/>
      <c r="R11" s="41"/>
      <c r="S11" s="30">
        <f t="shared" si="3"/>
        <v>8.2850000000000001</v>
      </c>
      <c r="T11" s="30">
        <v>5</v>
      </c>
      <c r="U11" s="30">
        <f t="shared" si="4"/>
        <v>0.60000000000000142</v>
      </c>
      <c r="V11" s="30">
        <f t="shared" si="13"/>
        <v>0.49228007181328665</v>
      </c>
      <c r="W11" s="30">
        <f t="shared" si="5"/>
        <v>0.10771992818671478</v>
      </c>
      <c r="X11" s="30">
        <f>V11+V10+V9+V8+V7+V6</f>
        <v>3.6100538599640921</v>
      </c>
      <c r="Y11" s="30">
        <f t="shared" si="14"/>
        <v>2.0999461400359078</v>
      </c>
      <c r="Z11" s="30">
        <f t="shared" si="6"/>
        <v>8.3927199281867146</v>
      </c>
      <c r="AA11" s="31">
        <f t="shared" si="7"/>
        <v>0.25021043928599329</v>
      </c>
      <c r="AC11" s="18"/>
      <c r="AD11" s="18"/>
      <c r="AE11" s="24"/>
      <c r="AF11" s="25"/>
      <c r="AG11" s="19">
        <v>2</v>
      </c>
      <c r="AH11" s="19">
        <f t="shared" si="8"/>
        <v>0</v>
      </c>
      <c r="AI11" s="19">
        <f t="shared" si="0"/>
        <v>76</v>
      </c>
      <c r="AJ11" s="21">
        <v>0.28699999999999998</v>
      </c>
      <c r="AK11" s="19">
        <f t="shared" si="9"/>
        <v>4.9141345399999994E-2</v>
      </c>
      <c r="AL11" s="19">
        <f t="shared" si="10"/>
        <v>6.1850538599640945</v>
      </c>
      <c r="AM11" s="19">
        <f t="shared" si="11"/>
        <v>168.5953026430571</v>
      </c>
      <c r="AN11" s="19">
        <f t="shared" si="1"/>
        <v>125.86252593654254</v>
      </c>
      <c r="AO11" s="19">
        <f t="shared" si="12"/>
        <v>0.33370755262012963</v>
      </c>
      <c r="AP11" s="19">
        <f t="shared" si="2"/>
        <v>168.5953026430571</v>
      </c>
      <c r="AQ11" s="35"/>
      <c r="AT11" s="48"/>
      <c r="AU11" s="48"/>
      <c r="AV11" s="48"/>
      <c r="AW11" s="10"/>
    </row>
    <row r="12" spans="2:49" x14ac:dyDescent="0.25">
      <c r="B12" s="12" t="s">
        <v>115</v>
      </c>
      <c r="C12" s="13">
        <v>17.7</v>
      </c>
      <c r="D12" s="14">
        <v>7</v>
      </c>
      <c r="E12" s="14">
        <v>7</v>
      </c>
      <c r="F12" s="14">
        <v>7</v>
      </c>
      <c r="G12" s="14">
        <v>20</v>
      </c>
      <c r="H12" s="14">
        <v>5.9</v>
      </c>
      <c r="I12" s="14">
        <v>2</v>
      </c>
      <c r="J12" s="14">
        <v>0</v>
      </c>
      <c r="K12" s="14">
        <v>2</v>
      </c>
      <c r="L12" s="14">
        <v>0</v>
      </c>
      <c r="M12" s="14">
        <v>0</v>
      </c>
      <c r="N12" s="14">
        <v>33.799999999999997</v>
      </c>
      <c r="O12" s="14">
        <v>300</v>
      </c>
      <c r="P12" s="51">
        <v>0.31944444444444448</v>
      </c>
      <c r="Q12" s="10"/>
      <c r="R12" s="41"/>
      <c r="S12" s="30">
        <f t="shared" si="3"/>
        <v>7.9849999999999959</v>
      </c>
      <c r="T12" s="30">
        <v>6</v>
      </c>
      <c r="U12" s="30">
        <f t="shared" si="4"/>
        <v>0.30000000000000426</v>
      </c>
      <c r="V12" s="30">
        <f t="shared" si="13"/>
        <v>0.24614003590664624</v>
      </c>
      <c r="W12" s="30">
        <f t="shared" si="5"/>
        <v>5.3859964093358026E-2</v>
      </c>
      <c r="X12" s="30">
        <f>V12+V11+V10+V9+V8+V7+V6</f>
        <v>3.8561938958707382</v>
      </c>
      <c r="Y12" s="30">
        <f t="shared" si="14"/>
        <v>1.8538061041292617</v>
      </c>
      <c r="Z12" s="30">
        <f t="shared" si="6"/>
        <v>8.0388599640933531</v>
      </c>
      <c r="AA12" s="31">
        <f t="shared" si="7"/>
        <v>0.230605597362006</v>
      </c>
      <c r="AC12" s="18"/>
      <c r="AD12" s="18"/>
      <c r="AE12" s="24"/>
      <c r="AF12" s="25"/>
      <c r="AG12" s="19">
        <v>2</v>
      </c>
      <c r="AH12" s="19">
        <f t="shared" si="8"/>
        <v>0</v>
      </c>
      <c r="AI12" s="19">
        <f t="shared" si="0"/>
        <v>76</v>
      </c>
      <c r="AJ12" s="21">
        <v>0.28699999999999998</v>
      </c>
      <c r="AK12" s="19">
        <f t="shared" si="9"/>
        <v>4.9141345399999994E-2</v>
      </c>
      <c r="AL12" s="19">
        <f t="shared" si="10"/>
        <v>6.1311938958707364</v>
      </c>
      <c r="AM12" s="19">
        <f t="shared" si="11"/>
        <v>162.49046368193243</v>
      </c>
      <c r="AN12" s="19">
        <f t="shared" si="1"/>
        <v>124.76650457906952</v>
      </c>
      <c r="AO12" s="19">
        <f t="shared" si="12"/>
        <v>0.29972351835591365</v>
      </c>
      <c r="AP12" s="19">
        <f t="shared" si="2"/>
        <v>162.49046368193243</v>
      </c>
      <c r="AQ12" s="35"/>
      <c r="AT12" s="48"/>
      <c r="AU12" s="48"/>
      <c r="AV12" s="48"/>
      <c r="AW12" s="10"/>
    </row>
    <row r="13" spans="2:49" x14ac:dyDescent="0.25">
      <c r="B13" s="12" t="s">
        <v>116</v>
      </c>
      <c r="C13" s="13">
        <v>17.5</v>
      </c>
      <c r="D13" s="14">
        <v>8</v>
      </c>
      <c r="E13" s="14">
        <v>8</v>
      </c>
      <c r="F13" s="14">
        <v>8</v>
      </c>
      <c r="G13" s="14">
        <v>20</v>
      </c>
      <c r="H13" s="14">
        <v>4.8</v>
      </c>
      <c r="I13" s="14">
        <v>2</v>
      </c>
      <c r="J13" s="14">
        <v>0</v>
      </c>
      <c r="K13" s="14">
        <v>1.9</v>
      </c>
      <c r="L13" s="14">
        <v>0</v>
      </c>
      <c r="M13" s="14">
        <v>0</v>
      </c>
      <c r="N13" s="14">
        <v>33.299999999999997</v>
      </c>
      <c r="O13" s="14">
        <v>500</v>
      </c>
      <c r="P13" s="51">
        <v>0.3125</v>
      </c>
      <c r="Q13" s="10"/>
      <c r="R13" s="41"/>
      <c r="S13" s="30">
        <f t="shared" si="3"/>
        <v>7.4849999999999959</v>
      </c>
      <c r="T13" s="30">
        <v>7</v>
      </c>
      <c r="U13" s="30">
        <f t="shared" si="4"/>
        <v>0.5</v>
      </c>
      <c r="V13" s="30">
        <f t="shared" si="13"/>
        <v>0.41023339317773788</v>
      </c>
      <c r="W13" s="30">
        <f t="shared" si="5"/>
        <v>8.9766606822262118E-2</v>
      </c>
      <c r="X13" s="30">
        <f>V13+V12+V11+V10+V9+V8+V7+V6</f>
        <v>4.2664272890484769</v>
      </c>
      <c r="Y13" s="30">
        <f t="shared" si="14"/>
        <v>1.4435727109515231</v>
      </c>
      <c r="Z13" s="30">
        <f t="shared" si="6"/>
        <v>7.5747666068222577</v>
      </c>
      <c r="AA13" s="31">
        <f t="shared" si="7"/>
        <v>0.19057652676075337</v>
      </c>
      <c r="AC13" s="18"/>
      <c r="AD13" s="18"/>
      <c r="AE13" s="24"/>
      <c r="AF13" s="25"/>
      <c r="AG13" s="19">
        <v>3</v>
      </c>
      <c r="AH13" s="19">
        <f t="shared" si="8"/>
        <v>1</v>
      </c>
      <c r="AI13" s="19">
        <f t="shared" si="0"/>
        <v>75</v>
      </c>
      <c r="AJ13" s="21">
        <v>0.28699999999999998</v>
      </c>
      <c r="AK13" s="19">
        <f t="shared" si="9"/>
        <v>4.8494748749999997E-2</v>
      </c>
      <c r="AL13" s="19">
        <f t="shared" si="10"/>
        <v>6.0414272890484746</v>
      </c>
      <c r="AM13" s="19">
        <f t="shared" si="11"/>
        <v>154.34660850779221</v>
      </c>
      <c r="AN13" s="19">
        <f t="shared" si="1"/>
        <v>124.57899968083606</v>
      </c>
      <c r="AO13" s="19">
        <f t="shared" si="12"/>
        <v>0.23544724493605512</v>
      </c>
      <c r="AP13" s="19">
        <f t="shared" si="2"/>
        <v>154.34660850779221</v>
      </c>
      <c r="AQ13" s="35"/>
      <c r="AT13" s="48"/>
      <c r="AU13" s="48"/>
      <c r="AV13" s="48"/>
      <c r="AW13" s="10"/>
    </row>
    <row r="14" spans="2:49" x14ac:dyDescent="0.25">
      <c r="B14" s="12" t="s">
        <v>117</v>
      </c>
      <c r="C14" s="13">
        <v>24.5</v>
      </c>
      <c r="D14" s="14">
        <v>8</v>
      </c>
      <c r="E14" s="14">
        <v>8</v>
      </c>
      <c r="F14" s="14">
        <v>8</v>
      </c>
      <c r="G14" s="14">
        <v>20</v>
      </c>
      <c r="H14" s="14">
        <v>5.8</v>
      </c>
      <c r="I14" s="14" t="s">
        <v>118</v>
      </c>
      <c r="J14" s="14">
        <v>0</v>
      </c>
      <c r="K14" s="14">
        <v>1.9</v>
      </c>
      <c r="L14" s="14">
        <v>0</v>
      </c>
      <c r="M14" s="14">
        <v>0</v>
      </c>
      <c r="N14" s="14">
        <v>33.1</v>
      </c>
      <c r="O14" s="14">
        <v>200</v>
      </c>
      <c r="P14" s="51">
        <v>0.31805555555555554</v>
      </c>
      <c r="Q14" s="10"/>
      <c r="R14" s="41"/>
      <c r="S14" s="30">
        <f t="shared" si="3"/>
        <v>7.2850000000000001</v>
      </c>
      <c r="T14" s="30">
        <v>8</v>
      </c>
      <c r="U14" s="30">
        <f t="shared" si="4"/>
        <v>0.19999999999999574</v>
      </c>
      <c r="V14" s="30">
        <f t="shared" si="13"/>
        <v>0.16409335727109164</v>
      </c>
      <c r="W14" s="30">
        <f t="shared" si="5"/>
        <v>3.5906642728904092E-2</v>
      </c>
      <c r="X14" s="30">
        <f>V14+V13+V12+V11+V10+V9+V8+V7+V6</f>
        <v>4.430520646319569</v>
      </c>
      <c r="Y14" s="30">
        <f t="shared" si="14"/>
        <v>1.279479353680431</v>
      </c>
      <c r="Z14" s="30">
        <f t="shared" si="6"/>
        <v>7.3209066427289038</v>
      </c>
      <c r="AA14" s="31">
        <f t="shared" si="7"/>
        <v>0.17477061464118041</v>
      </c>
      <c r="AC14" s="18"/>
      <c r="AD14" s="18"/>
      <c r="AE14" s="24"/>
      <c r="AF14" s="25"/>
      <c r="AG14" s="19">
        <v>3</v>
      </c>
      <c r="AH14" s="19">
        <f t="shared" si="8"/>
        <v>0</v>
      </c>
      <c r="AI14" s="19">
        <f t="shared" si="0"/>
        <v>76</v>
      </c>
      <c r="AJ14" s="21">
        <v>0.28699999999999998</v>
      </c>
      <c r="AK14" s="19">
        <f t="shared" si="9"/>
        <v>4.9141345399999994E-2</v>
      </c>
      <c r="AL14" s="19">
        <f t="shared" si="10"/>
        <v>6.0055206463195709</v>
      </c>
      <c r="AM14" s="19">
        <f t="shared" si="11"/>
        <v>148.2458394393085</v>
      </c>
      <c r="AN14" s="19">
        <f t="shared" si="1"/>
        <v>122.20912141163257</v>
      </c>
      <c r="AO14" s="19">
        <f t="shared" si="12"/>
        <v>0.21178428415414224</v>
      </c>
      <c r="AP14" s="19">
        <f t="shared" si="2"/>
        <v>148.2458394393085</v>
      </c>
      <c r="AQ14" s="35"/>
      <c r="AT14" s="48"/>
      <c r="AU14" s="48"/>
      <c r="AV14" s="48"/>
      <c r="AW14" s="10"/>
    </row>
    <row r="15" spans="2:49" x14ac:dyDescent="0.25">
      <c r="B15" s="12" t="s">
        <v>119</v>
      </c>
      <c r="C15" s="13">
        <v>18.2</v>
      </c>
      <c r="D15" s="14">
        <v>9</v>
      </c>
      <c r="E15" s="14">
        <v>9</v>
      </c>
      <c r="F15" s="14">
        <v>9</v>
      </c>
      <c r="G15" s="14">
        <v>20</v>
      </c>
      <c r="H15" s="14">
        <v>4.5</v>
      </c>
      <c r="I15" s="14">
        <v>3</v>
      </c>
      <c r="J15" s="14">
        <v>0</v>
      </c>
      <c r="K15" s="14">
        <v>1.9</v>
      </c>
      <c r="L15" s="14">
        <v>0</v>
      </c>
      <c r="M15" s="14">
        <v>0</v>
      </c>
      <c r="N15" s="14">
        <v>33</v>
      </c>
      <c r="O15" s="14">
        <v>100</v>
      </c>
      <c r="P15" s="51">
        <v>0.3125</v>
      </c>
      <c r="Q15" s="10"/>
      <c r="R15" s="41"/>
      <c r="S15" s="30">
        <f t="shared" si="3"/>
        <v>7.1849999999999987</v>
      </c>
      <c r="T15" s="30">
        <v>9</v>
      </c>
      <c r="U15" s="30">
        <f t="shared" si="4"/>
        <v>0.10000000000000142</v>
      </c>
      <c r="V15" s="30">
        <f t="shared" si="13"/>
        <v>8.2046678635548737E-2</v>
      </c>
      <c r="W15" s="30">
        <f t="shared" si="5"/>
        <v>1.7953321364452685E-2</v>
      </c>
      <c r="X15" s="30">
        <f>V15+V14+V13+V12+V11+V10+V9+V8+V7+V6</f>
        <v>4.5125673249551177</v>
      </c>
      <c r="Y15" s="30">
        <f t="shared" si="14"/>
        <v>1.1974326750448823</v>
      </c>
      <c r="Z15" s="30">
        <f t="shared" si="6"/>
        <v>7.2029533213644514</v>
      </c>
      <c r="AA15" s="31">
        <f t="shared" si="7"/>
        <v>0.16624190406637998</v>
      </c>
      <c r="AC15" s="18"/>
      <c r="AD15" s="18"/>
      <c r="AE15" s="24"/>
      <c r="AF15" s="25"/>
      <c r="AG15" s="19">
        <v>4</v>
      </c>
      <c r="AH15" s="19">
        <f t="shared" si="8"/>
        <v>1</v>
      </c>
      <c r="AI15" s="19">
        <f t="shared" si="0"/>
        <v>75</v>
      </c>
      <c r="AJ15" s="21">
        <v>0.28699999999999998</v>
      </c>
      <c r="AK15" s="19">
        <f t="shared" si="9"/>
        <v>4.8494748749999997E-2</v>
      </c>
      <c r="AL15" s="19">
        <f t="shared" si="10"/>
        <v>5.9875673249551182</v>
      </c>
      <c r="AM15" s="19">
        <f t="shared" si="11"/>
        <v>148.16037169385271</v>
      </c>
      <c r="AN15" s="19">
        <f t="shared" si="1"/>
        <v>123.46836470526344</v>
      </c>
      <c r="AO15" s="19">
        <f t="shared" si="12"/>
        <v>0.19938865346815821</v>
      </c>
      <c r="AP15" s="19">
        <f t="shared" si="2"/>
        <v>148.16037169385271</v>
      </c>
      <c r="AQ15" s="35"/>
      <c r="AT15" s="48"/>
      <c r="AU15" s="48"/>
      <c r="AV15" s="48"/>
      <c r="AW15" s="10"/>
    </row>
    <row r="16" spans="2:49" x14ac:dyDescent="0.25">
      <c r="B16" s="12" t="s">
        <v>120</v>
      </c>
      <c r="C16" s="13">
        <v>20.5</v>
      </c>
      <c r="D16" s="14">
        <v>9</v>
      </c>
      <c r="E16" s="14">
        <v>9</v>
      </c>
      <c r="F16" s="14">
        <v>9</v>
      </c>
      <c r="G16" s="14">
        <v>20</v>
      </c>
      <c r="H16" s="14">
        <v>4.8</v>
      </c>
      <c r="I16" s="14">
        <v>2</v>
      </c>
      <c r="J16" s="14">
        <v>0</v>
      </c>
      <c r="K16" s="14">
        <v>1.9</v>
      </c>
      <c r="L16" s="14">
        <v>0</v>
      </c>
      <c r="M16" s="14">
        <v>0</v>
      </c>
      <c r="N16" s="14">
        <v>32.799999999999997</v>
      </c>
      <c r="O16" s="14">
        <v>200</v>
      </c>
      <c r="P16" s="51">
        <v>0.3756944444444445</v>
      </c>
      <c r="Q16" s="10"/>
      <c r="R16" s="41"/>
      <c r="S16" s="30">
        <f t="shared" si="3"/>
        <v>6.9849999999999959</v>
      </c>
      <c r="T16" s="30">
        <v>10</v>
      </c>
      <c r="U16" s="30">
        <f t="shared" si="4"/>
        <v>0.20000000000000284</v>
      </c>
      <c r="V16" s="30">
        <f t="shared" si="13"/>
        <v>0.16409335727109747</v>
      </c>
      <c r="W16" s="30">
        <f t="shared" si="5"/>
        <v>3.5906642728905369E-2</v>
      </c>
      <c r="X16" s="30">
        <f>V16+V15+V14+V13+V12+V11+V10+V9+V8+V7+V6</f>
        <v>4.6766606822262151</v>
      </c>
      <c r="Y16" s="30">
        <f t="shared" si="14"/>
        <v>1.0333393177737848</v>
      </c>
      <c r="Z16" s="30">
        <f t="shared" si="6"/>
        <v>7.0209066427289013</v>
      </c>
      <c r="AA16" s="31">
        <f t="shared" si="7"/>
        <v>0.14718032447332818</v>
      </c>
      <c r="AC16" s="18"/>
      <c r="AD16" s="18"/>
      <c r="AE16" s="24"/>
      <c r="AF16" s="25"/>
      <c r="AG16" s="19">
        <v>4</v>
      </c>
      <c r="AH16" s="19">
        <f t="shared" si="8"/>
        <v>0</v>
      </c>
      <c r="AI16" s="19">
        <f t="shared" si="0"/>
        <v>76</v>
      </c>
      <c r="AJ16" s="21">
        <v>0.28699999999999998</v>
      </c>
      <c r="AK16" s="19">
        <f t="shared" si="9"/>
        <v>4.9141345399999994E-2</v>
      </c>
      <c r="AL16" s="19">
        <f t="shared" si="10"/>
        <v>5.9516606822262128</v>
      </c>
      <c r="AM16" s="19">
        <f t="shared" si="11"/>
        <v>142.14100047818383</v>
      </c>
      <c r="AN16" s="19">
        <f t="shared" si="1"/>
        <v>121.11310005415956</v>
      </c>
      <c r="AO16" s="19">
        <f t="shared" si="12"/>
        <v>0.17258082651814374</v>
      </c>
      <c r="AP16" s="19">
        <f t="shared" si="2"/>
        <v>142.14100047818383</v>
      </c>
      <c r="AQ16" s="35"/>
      <c r="AT16" s="48"/>
      <c r="AU16" s="48"/>
      <c r="AV16" s="48"/>
      <c r="AW16" s="10"/>
    </row>
    <row r="17" spans="2:49" x14ac:dyDescent="0.25">
      <c r="B17" s="15" t="s">
        <v>121</v>
      </c>
      <c r="C17" s="13">
        <v>20.8</v>
      </c>
      <c r="D17" s="14">
        <v>9</v>
      </c>
      <c r="E17" s="14">
        <v>9</v>
      </c>
      <c r="F17" s="14">
        <v>9</v>
      </c>
      <c r="G17" s="14">
        <v>20</v>
      </c>
      <c r="H17" s="14">
        <v>7.5</v>
      </c>
      <c r="I17" s="14">
        <v>5</v>
      </c>
      <c r="J17" s="14">
        <v>0</v>
      </c>
      <c r="K17" s="14">
        <v>1.8</v>
      </c>
      <c r="L17" s="14">
        <v>0</v>
      </c>
      <c r="M17" s="14">
        <v>0</v>
      </c>
      <c r="N17" s="14">
        <v>32.799999999999997</v>
      </c>
      <c r="O17" s="14">
        <v>0</v>
      </c>
      <c r="P17" s="51">
        <v>0.36249999999999999</v>
      </c>
      <c r="Q17" s="10"/>
      <c r="R17" s="41"/>
      <c r="S17" s="30">
        <f t="shared" si="3"/>
        <v>6.9849999999999959</v>
      </c>
      <c r="T17" s="30">
        <v>11</v>
      </c>
      <c r="U17" s="30">
        <f t="shared" si="4"/>
        <v>0</v>
      </c>
      <c r="V17" s="30">
        <f t="shared" si="13"/>
        <v>0</v>
      </c>
      <c r="W17" s="30">
        <f t="shared" si="5"/>
        <v>0</v>
      </c>
      <c r="X17" s="30">
        <f>V17+V16+V15+V14+V13+V12+V11+V10+V9+V8+V7+V6</f>
        <v>4.6766606822262151</v>
      </c>
      <c r="Y17" s="30">
        <f t="shared" si="14"/>
        <v>1.0333393177737848</v>
      </c>
      <c r="Z17" s="30">
        <f t="shared" si="6"/>
        <v>6.9849999999999959</v>
      </c>
      <c r="AA17" s="31">
        <f t="shared" si="7"/>
        <v>0.1479369102038347</v>
      </c>
      <c r="AC17" s="18"/>
      <c r="AD17" s="18"/>
      <c r="AE17" s="24"/>
      <c r="AF17" s="25"/>
      <c r="AG17" s="19">
        <v>4</v>
      </c>
      <c r="AH17" s="19">
        <f t="shared" si="8"/>
        <v>0</v>
      </c>
      <c r="AI17" s="19">
        <f t="shared" si="0"/>
        <v>76</v>
      </c>
      <c r="AJ17" s="21">
        <v>0.28699999999999998</v>
      </c>
      <c r="AK17" s="19">
        <f t="shared" si="9"/>
        <v>4.9141345399999994E-2</v>
      </c>
      <c r="AL17" s="19">
        <f t="shared" si="10"/>
        <v>5.9516606822262128</v>
      </c>
      <c r="AM17" s="19">
        <f t="shared" si="11"/>
        <v>142.14100047818383</v>
      </c>
      <c r="AN17" s="19">
        <f t="shared" si="1"/>
        <v>121.11310005415956</v>
      </c>
      <c r="AO17" s="19">
        <f t="shared" si="12"/>
        <v>0.17362201458488818</v>
      </c>
      <c r="AP17" s="19">
        <f t="shared" si="2"/>
        <v>142.14100047818383</v>
      </c>
      <c r="AQ17" s="35"/>
      <c r="AT17" s="48"/>
      <c r="AU17" s="48"/>
      <c r="AV17" s="48"/>
      <c r="AW17" s="10"/>
    </row>
    <row r="18" spans="2:49" x14ac:dyDescent="0.25">
      <c r="B18" s="12" t="s">
        <v>122</v>
      </c>
      <c r="C18" s="13">
        <v>19.899999999999999</v>
      </c>
      <c r="D18" s="14">
        <v>10</v>
      </c>
      <c r="E18" s="14">
        <v>10</v>
      </c>
      <c r="F18" s="14">
        <v>10</v>
      </c>
      <c r="G18" s="14">
        <v>20</v>
      </c>
      <c r="H18" s="14">
        <v>8.6999999999999993</v>
      </c>
      <c r="I18" s="14">
        <v>3</v>
      </c>
      <c r="J18" s="14">
        <v>0</v>
      </c>
      <c r="K18" s="14">
        <v>1.8</v>
      </c>
      <c r="L18" s="14">
        <v>0</v>
      </c>
      <c r="M18" s="14">
        <v>0</v>
      </c>
      <c r="N18" s="14">
        <v>32.799999999999997</v>
      </c>
      <c r="O18" s="14">
        <v>0</v>
      </c>
      <c r="P18" s="51">
        <v>0.3125</v>
      </c>
      <c r="Q18" s="10"/>
      <c r="R18" s="41"/>
      <c r="S18" s="30">
        <f t="shared" si="3"/>
        <v>6.9849999999999959</v>
      </c>
      <c r="T18" s="30">
        <v>12</v>
      </c>
      <c r="U18" s="30">
        <f t="shared" si="4"/>
        <v>0</v>
      </c>
      <c r="V18" s="30">
        <f t="shared" si="13"/>
        <v>0</v>
      </c>
      <c r="W18" s="30">
        <f t="shared" si="5"/>
        <v>0</v>
      </c>
      <c r="X18" s="30">
        <f>V18+V17+V16+V15+V14+V13+V12+V11+V10+V9+V8+V7+V6</f>
        <v>4.6766606822262151</v>
      </c>
      <c r="Y18" s="30">
        <f t="shared" si="14"/>
        <v>1.0333393177737848</v>
      </c>
      <c r="Z18" s="30">
        <f t="shared" si="6"/>
        <v>6.9849999999999959</v>
      </c>
      <c r="AA18" s="31">
        <f t="shared" si="7"/>
        <v>0.1479369102038347</v>
      </c>
      <c r="AC18" s="18"/>
      <c r="AD18" s="18"/>
      <c r="AE18" s="24"/>
      <c r="AF18" s="25"/>
      <c r="AG18" s="19">
        <v>5</v>
      </c>
      <c r="AH18" s="19">
        <f t="shared" si="8"/>
        <v>1</v>
      </c>
      <c r="AI18" s="19">
        <f t="shared" si="0"/>
        <v>75</v>
      </c>
      <c r="AJ18" s="21">
        <v>0.28699999999999998</v>
      </c>
      <c r="AK18" s="19">
        <f t="shared" si="9"/>
        <v>4.8494748749999997E-2</v>
      </c>
      <c r="AL18" s="19">
        <f t="shared" si="10"/>
        <v>5.9516606822262128</v>
      </c>
      <c r="AM18" s="19">
        <f t="shared" si="11"/>
        <v>144.03621381789293</v>
      </c>
      <c r="AN18" s="19">
        <f t="shared" si="1"/>
        <v>122.72794138821502</v>
      </c>
      <c r="AO18" s="19">
        <f t="shared" si="12"/>
        <v>0.17362201458488818</v>
      </c>
      <c r="AP18" s="19">
        <f t="shared" si="2"/>
        <v>144.03621381789293</v>
      </c>
      <c r="AQ18" s="35"/>
      <c r="AT18" s="48"/>
      <c r="AU18" s="48"/>
      <c r="AV18" s="48"/>
      <c r="AW18" s="10"/>
    </row>
    <row r="19" spans="2:49" x14ac:dyDescent="0.25">
      <c r="B19" s="12" t="s">
        <v>123</v>
      </c>
      <c r="C19" s="13">
        <v>19.100000000000001</v>
      </c>
      <c r="D19" s="14">
        <v>10</v>
      </c>
      <c r="E19" s="14">
        <v>10</v>
      </c>
      <c r="F19" s="14">
        <v>10</v>
      </c>
      <c r="G19" s="14">
        <v>20</v>
      </c>
      <c r="H19" s="14">
        <v>10</v>
      </c>
      <c r="I19" s="14">
        <v>3</v>
      </c>
      <c r="J19" s="14">
        <v>0</v>
      </c>
      <c r="K19" s="14">
        <v>1.9</v>
      </c>
      <c r="L19" s="14">
        <v>0</v>
      </c>
      <c r="M19" s="14">
        <v>0</v>
      </c>
      <c r="N19" s="14">
        <v>32.700000000000003</v>
      </c>
      <c r="O19" s="14">
        <v>100</v>
      </c>
      <c r="P19" s="51">
        <v>0.3125</v>
      </c>
      <c r="Q19" s="10"/>
      <c r="R19" s="41"/>
      <c r="S19" s="30">
        <f t="shared" si="3"/>
        <v>6.8850000000000016</v>
      </c>
      <c r="T19" s="30">
        <v>13</v>
      </c>
      <c r="U19" s="30">
        <f t="shared" si="4"/>
        <v>9.9999999999994316E-2</v>
      </c>
      <c r="V19" s="30">
        <f t="shared" si="13"/>
        <v>8.2046678635542908E-2</v>
      </c>
      <c r="W19" s="30">
        <f t="shared" si="5"/>
        <v>1.7953321364451408E-2</v>
      </c>
      <c r="X19" s="30">
        <f>V19+V18+V17+V16+V15+V14+V13+V12+V11+V10+V9+V8+V7+V6</f>
        <v>4.7587073608617585</v>
      </c>
      <c r="Y19" s="30">
        <f t="shared" si="14"/>
        <v>0.95129263913824147</v>
      </c>
      <c r="Z19" s="30">
        <f t="shared" si="6"/>
        <v>6.9029533213644534</v>
      </c>
      <c r="AA19" s="31">
        <f t="shared" si="7"/>
        <v>0.13780951353010262</v>
      </c>
      <c r="AC19" s="18"/>
      <c r="AD19" s="18"/>
      <c r="AE19" s="26" t="s">
        <v>310</v>
      </c>
      <c r="AF19" s="27">
        <v>1420</v>
      </c>
      <c r="AG19" s="19">
        <v>5</v>
      </c>
      <c r="AH19" s="19">
        <f t="shared" si="8"/>
        <v>0</v>
      </c>
      <c r="AI19" s="19">
        <f t="shared" si="0"/>
        <v>76</v>
      </c>
      <c r="AJ19" s="21">
        <v>0.28699999999999998</v>
      </c>
      <c r="AK19" s="19">
        <f t="shared" si="9"/>
        <v>4.9141345399999994E-2</v>
      </c>
      <c r="AL19" s="19">
        <f t="shared" si="10"/>
        <v>5.933707360861761</v>
      </c>
      <c r="AM19" s="19">
        <f t="shared" si="11"/>
        <v>140.1060541578091</v>
      </c>
      <c r="AN19" s="19">
        <f t="shared" si="1"/>
        <v>120.74775960166858</v>
      </c>
      <c r="AO19" s="19">
        <f t="shared" si="12"/>
        <v>0.15983650445314224</v>
      </c>
      <c r="AP19" s="19">
        <f t="shared" si="2"/>
        <v>140.1060541578091</v>
      </c>
      <c r="AQ19" s="35"/>
      <c r="AT19" s="48"/>
      <c r="AU19" s="48"/>
      <c r="AV19" s="48"/>
      <c r="AW19" s="10"/>
    </row>
    <row r="20" spans="2:49" x14ac:dyDescent="0.25">
      <c r="B20" s="39"/>
      <c r="C20" s="3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42"/>
      <c r="Q20" s="39"/>
      <c r="R20" s="41"/>
      <c r="S20" s="30"/>
      <c r="T20" s="30"/>
      <c r="U20" s="30"/>
      <c r="V20" s="30"/>
      <c r="W20" s="30"/>
      <c r="X20" s="30"/>
      <c r="Y20" s="30"/>
      <c r="Z20" s="30"/>
      <c r="AA20" s="31"/>
      <c r="AG20" s="19"/>
      <c r="AH20" s="19"/>
      <c r="AI20" s="19"/>
      <c r="AJ20" s="21"/>
      <c r="AK20" s="19"/>
      <c r="AL20" s="19"/>
      <c r="AM20" s="19"/>
      <c r="AN20" s="19"/>
      <c r="AO20" s="19"/>
      <c r="AP20" s="19"/>
      <c r="AQ20" s="35"/>
      <c r="AT20" s="10"/>
      <c r="AU20" s="10"/>
      <c r="AV20" s="10"/>
      <c r="AW20" s="10"/>
    </row>
    <row r="21" spans="2:49" x14ac:dyDescent="0.25">
      <c r="B21" s="39"/>
      <c r="C21" s="3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42"/>
      <c r="Q21" s="10"/>
      <c r="R21" s="42"/>
      <c r="S21" s="30"/>
      <c r="T21" s="30"/>
      <c r="U21" s="30"/>
      <c r="V21" s="30"/>
      <c r="W21" s="30"/>
      <c r="X21" s="30"/>
      <c r="Y21" s="30"/>
      <c r="Z21" s="30"/>
      <c r="AA21" s="31"/>
      <c r="AG21" s="19"/>
      <c r="AH21" s="19"/>
      <c r="AI21" s="19"/>
      <c r="AJ21" s="21"/>
      <c r="AK21" s="19"/>
      <c r="AL21" s="19"/>
      <c r="AM21" s="19"/>
      <c r="AN21" s="19"/>
      <c r="AO21" s="19"/>
      <c r="AP21" s="19"/>
      <c r="AQ21" s="35"/>
      <c r="AT21" s="10"/>
      <c r="AU21" s="10"/>
      <c r="AV21" s="10"/>
    </row>
    <row r="22" spans="2:49" x14ac:dyDescent="0.25">
      <c r="B22" s="63" t="s">
        <v>303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10"/>
      <c r="R22" s="42"/>
      <c r="S22" s="63" t="s">
        <v>305</v>
      </c>
      <c r="T22" s="63"/>
      <c r="U22" s="63"/>
      <c r="V22" s="63"/>
      <c r="W22" s="63"/>
      <c r="X22" s="63"/>
      <c r="Y22" s="63"/>
      <c r="Z22" s="63"/>
      <c r="AA22" s="63"/>
      <c r="AG22" s="63" t="s">
        <v>305</v>
      </c>
      <c r="AH22" s="63"/>
      <c r="AI22" s="63"/>
      <c r="AJ22" s="63"/>
      <c r="AK22" s="63"/>
      <c r="AL22" s="63"/>
      <c r="AM22" s="63"/>
      <c r="AN22" s="63"/>
      <c r="AO22" s="63"/>
      <c r="AP22" s="63"/>
      <c r="AQ22" s="35"/>
      <c r="AT22" s="10"/>
      <c r="AU22" s="10"/>
      <c r="AV22" s="10"/>
    </row>
    <row r="23" spans="2:49" x14ac:dyDescent="0.25">
      <c r="Q23" s="10"/>
      <c r="R23" s="42"/>
      <c r="AQ23" s="35"/>
      <c r="AT23" s="10"/>
      <c r="AU23" s="10"/>
      <c r="AV23" s="10"/>
    </row>
    <row r="24" spans="2:49" x14ac:dyDescent="0.25">
      <c r="B24" s="39"/>
      <c r="C24" s="3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42"/>
      <c r="Q24" s="10"/>
      <c r="R24" s="42"/>
      <c r="S24" t="s">
        <v>313</v>
      </c>
      <c r="X24" s="8">
        <v>5.71</v>
      </c>
      <c r="Y24" s="30"/>
      <c r="Z24" s="30"/>
      <c r="AA24" s="31"/>
      <c r="AG24" s="19"/>
      <c r="AH24" s="19"/>
      <c r="AI24" s="19"/>
      <c r="AJ24" s="21"/>
      <c r="AK24" s="19"/>
      <c r="AL24" s="19"/>
      <c r="AM24" s="19"/>
      <c r="AN24" s="19"/>
      <c r="AO24" s="19"/>
      <c r="AP24" s="19"/>
      <c r="AQ24" s="35"/>
      <c r="AT24" s="10"/>
      <c r="AU24" s="10"/>
      <c r="AV24" s="10"/>
    </row>
    <row r="25" spans="2:49" x14ac:dyDescent="0.25">
      <c r="B25" s="39"/>
      <c r="C25" s="3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42"/>
      <c r="Q25" s="10"/>
      <c r="R25" s="42"/>
      <c r="S25" t="s">
        <v>312</v>
      </c>
      <c r="X25" s="8">
        <v>0.79300000000000004</v>
      </c>
      <c r="Y25" s="30"/>
      <c r="Z25" s="30"/>
      <c r="AA25" s="31"/>
      <c r="AG25" s="19"/>
      <c r="AH25" s="19"/>
      <c r="AI25" s="19"/>
      <c r="AJ25" s="21"/>
      <c r="AK25" s="19"/>
      <c r="AL25" s="19"/>
      <c r="AM25" s="19"/>
      <c r="AN25" s="19"/>
      <c r="AO25" s="19"/>
      <c r="AP25" s="19"/>
      <c r="AQ25" s="35"/>
      <c r="AT25" s="10"/>
      <c r="AU25" s="10"/>
      <c r="AV25" s="10"/>
    </row>
    <row r="26" spans="2:49" x14ac:dyDescent="0.25">
      <c r="B26" s="39"/>
      <c r="C26" s="3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2"/>
      <c r="Q26" s="10"/>
      <c r="R26" s="42"/>
      <c r="S26" t="s">
        <v>311</v>
      </c>
      <c r="X26" s="8">
        <f>S6-S19</f>
        <v>5.7999999999999972</v>
      </c>
      <c r="Y26" s="30"/>
      <c r="Z26" s="30"/>
      <c r="AA26" s="31"/>
      <c r="AG26" s="19"/>
      <c r="AH26" s="19"/>
      <c r="AI26" s="19"/>
      <c r="AJ26" s="21"/>
      <c r="AK26" s="19"/>
      <c r="AL26" s="19"/>
      <c r="AM26" s="19"/>
      <c r="AN26" s="19"/>
      <c r="AO26" s="19"/>
      <c r="AP26" s="19"/>
      <c r="AQ26" s="35"/>
      <c r="AT26" s="10"/>
      <c r="AU26" s="10"/>
      <c r="AV26" s="10"/>
    </row>
    <row r="27" spans="2:49" x14ac:dyDescent="0.25">
      <c r="B27" s="39"/>
      <c r="C27" s="3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42"/>
      <c r="S27" t="s">
        <v>314</v>
      </c>
      <c r="X27" s="8">
        <f>X24-X25</f>
        <v>4.9169999999999998</v>
      </c>
      <c r="Y27" s="30"/>
      <c r="Z27" s="30"/>
      <c r="AA27" s="31"/>
      <c r="AG27" s="19"/>
      <c r="AH27" s="19"/>
      <c r="AI27" s="19"/>
      <c r="AJ27" s="21"/>
      <c r="AK27" s="19"/>
      <c r="AL27" s="19"/>
      <c r="AM27" s="19"/>
      <c r="AN27" s="19"/>
      <c r="AO27" s="19"/>
      <c r="AP27" s="19"/>
      <c r="AQ27" s="35"/>
      <c r="AT27" s="10"/>
      <c r="AU27" s="10"/>
      <c r="AV27" s="10"/>
    </row>
    <row r="28" spans="2:49" x14ac:dyDescent="0.25">
      <c r="S28" t="s">
        <v>315</v>
      </c>
      <c r="X28" s="8">
        <f>X26-X27</f>
        <v>0.88299999999999734</v>
      </c>
      <c r="AQ28" s="35"/>
    </row>
    <row r="29" spans="2:49" x14ac:dyDescent="0.25">
      <c r="AQ29" s="35"/>
    </row>
    <row r="30" spans="2:49" x14ac:dyDescent="0.25">
      <c r="S30" t="s">
        <v>316</v>
      </c>
      <c r="X30" s="29">
        <f>X27/X28</f>
        <v>5.5685164212910694</v>
      </c>
      <c r="AQ30" s="35"/>
    </row>
    <row r="31" spans="2:49" x14ac:dyDescent="0.25">
      <c r="AQ31" s="35"/>
    </row>
    <row r="32" spans="2:49" x14ac:dyDescent="0.25">
      <c r="AQ32" s="35"/>
    </row>
    <row r="33" spans="1:43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4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8"/>
    </row>
    <row r="35" spans="1:43" x14ac:dyDescent="0.25">
      <c r="Y35" s="18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10" spans="46:46" x14ac:dyDescent="0.25">
      <c r="AT410" s="7"/>
    </row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54" spans="46:46" x14ac:dyDescent="0.25">
      <c r="AT554" s="7"/>
    </row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84" spans="46:46" x14ac:dyDescent="0.25">
      <c r="AT684" s="7"/>
    </row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</sheetData>
  <mergeCells count="3">
    <mergeCell ref="B22:P22"/>
    <mergeCell ref="S22:AA22"/>
    <mergeCell ref="AG22:AP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FCAB-13C6-4224-9D9C-EF18ADC87FCC}">
  <dimension ref="A1:AW1420"/>
  <sheetViews>
    <sheetView zoomScale="55" zoomScaleNormal="55" workbookViewId="0">
      <selection activeCell="AL17" sqref="AL17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2.2851562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</cols>
  <sheetData>
    <row r="1" spans="2:49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9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9" x14ac:dyDescent="0.25">
      <c r="L3" s="9"/>
      <c r="M3" s="10"/>
      <c r="AQ3" s="35"/>
    </row>
    <row r="4" spans="2:49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356</v>
      </c>
      <c r="W4" s="17" t="s">
        <v>357</v>
      </c>
      <c r="X4" s="17" t="s">
        <v>358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9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9" x14ac:dyDescent="0.25">
      <c r="B6" s="3" t="s">
        <v>124</v>
      </c>
      <c r="C6" s="5">
        <v>27</v>
      </c>
      <c r="D6" s="2">
        <v>5</v>
      </c>
      <c r="E6" s="2">
        <v>5</v>
      </c>
      <c r="F6" s="2">
        <v>5</v>
      </c>
      <c r="G6" s="2">
        <v>20</v>
      </c>
      <c r="H6" s="2">
        <v>1</v>
      </c>
      <c r="I6" s="2">
        <v>0</v>
      </c>
      <c r="J6" s="2">
        <v>0</v>
      </c>
      <c r="K6" s="2">
        <v>20</v>
      </c>
      <c r="L6" s="2">
        <v>0</v>
      </c>
      <c r="M6" s="2">
        <v>0</v>
      </c>
      <c r="N6" s="2">
        <v>44.6</v>
      </c>
      <c r="O6" s="2">
        <v>0</v>
      </c>
      <c r="P6" s="45">
        <v>0.5</v>
      </c>
      <c r="Q6" s="10"/>
      <c r="R6" s="41"/>
      <c r="S6" s="30">
        <f>N6-25.574</f>
        <v>19.026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8.56</v>
      </c>
      <c r="Z6" s="30">
        <f>S6-V6</f>
        <v>19.026</v>
      </c>
      <c r="AA6" s="31">
        <f>Y6/Z6</f>
        <v>0.44991064858614532</v>
      </c>
      <c r="AC6" s="18"/>
      <c r="AD6" s="18">
        <v>1000</v>
      </c>
      <c r="AE6" s="22" t="s">
        <v>309</v>
      </c>
      <c r="AF6" s="23">
        <v>1460</v>
      </c>
      <c r="AG6" s="19">
        <v>0</v>
      </c>
      <c r="AH6" s="19">
        <v>0</v>
      </c>
      <c r="AI6" s="19">
        <f t="shared" ref="AI6:AI19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10.465999999999999</v>
      </c>
      <c r="AM6" s="19">
        <f>S6/AK6</f>
        <v>387.16888691452073</v>
      </c>
      <c r="AN6" s="19">
        <f t="shared" ref="AN6:AN19" si="1">AL6/AK6</f>
        <v>212.97748189043276</v>
      </c>
      <c r="AO6" s="19">
        <f>(AA6/(1-AA6))</f>
        <v>0.81788648958532395</v>
      </c>
      <c r="AP6" s="19">
        <f t="shared" ref="AP6:AP19" si="2">AM6/(1+AQ6)</f>
        <v>387.16888691452073</v>
      </c>
      <c r="AQ6" s="35"/>
      <c r="AT6" s="48"/>
      <c r="AU6" s="48"/>
      <c r="AV6" s="48"/>
      <c r="AW6" s="10"/>
    </row>
    <row r="7" spans="2:49" x14ac:dyDescent="0.25">
      <c r="B7" s="3" t="s">
        <v>125</v>
      </c>
      <c r="C7" s="5">
        <v>55.1</v>
      </c>
      <c r="D7" s="2">
        <v>6</v>
      </c>
      <c r="E7" s="2">
        <v>6</v>
      </c>
      <c r="F7" s="2">
        <v>6</v>
      </c>
      <c r="G7" s="2">
        <v>20</v>
      </c>
      <c r="H7" s="2">
        <v>100</v>
      </c>
      <c r="I7" s="2">
        <v>5</v>
      </c>
      <c r="J7" s="2">
        <v>1</v>
      </c>
      <c r="K7" s="2">
        <v>1.8</v>
      </c>
      <c r="L7" s="2">
        <v>0</v>
      </c>
      <c r="M7" s="2">
        <v>0</v>
      </c>
      <c r="N7" s="2">
        <v>42</v>
      </c>
      <c r="O7" s="2">
        <v>2600</v>
      </c>
      <c r="P7" s="45">
        <v>0.625</v>
      </c>
      <c r="Q7" s="10"/>
      <c r="R7" s="41"/>
      <c r="S7" s="30">
        <f t="shared" ref="S7:S20" si="3">N7-25.574</f>
        <v>16.425999999999998</v>
      </c>
      <c r="T7" s="30">
        <v>1</v>
      </c>
      <c r="U7" s="30">
        <f t="shared" ref="U7:U19" si="4">S6-S7</f>
        <v>2.6000000000000014</v>
      </c>
      <c r="V7" s="30">
        <f>U7-(U7/6.26)</f>
        <v>2.1846645367412152</v>
      </c>
      <c r="W7" s="30">
        <f t="shared" ref="W7:W19" si="5">U7-V7</f>
        <v>0.41533546325878623</v>
      </c>
      <c r="X7" s="30">
        <f>V7+V6</f>
        <v>2.1846645367412152</v>
      </c>
      <c r="Y7" s="30">
        <f>8.56-X7</f>
        <v>6.3753354632587858</v>
      </c>
      <c r="Z7" s="30">
        <f t="shared" ref="Z7:Z19" si="6">S6-V7</f>
        <v>16.841335463258783</v>
      </c>
      <c r="AA7" s="31">
        <f t="shared" ref="AA7:AA19" si="7">Y7/Z7</f>
        <v>0.37855284559631736</v>
      </c>
      <c r="AC7" s="18"/>
      <c r="AD7" s="18"/>
      <c r="AE7" s="24"/>
      <c r="AF7" s="25"/>
      <c r="AG7" s="19">
        <v>0</v>
      </c>
      <c r="AH7" s="19">
        <f t="shared" ref="AH7:AH19" si="8">AG7-AG6</f>
        <v>0</v>
      </c>
      <c r="AI7" s="19">
        <f t="shared" si="0"/>
        <v>76</v>
      </c>
      <c r="AJ7" s="21">
        <v>0.28699999999999998</v>
      </c>
      <c r="AK7" s="19">
        <f t="shared" ref="AK7:AK19" si="9">((($AJ$6*$AJ$6)*3.14)/4)*(AI7/100)</f>
        <v>4.9141345399999994E-2</v>
      </c>
      <c r="AL7" s="19">
        <f t="shared" ref="AL7:AL19" si="10">AL6-W7</f>
        <v>10.050664536741213</v>
      </c>
      <c r="AM7" s="19">
        <f t="shared" ref="AM7:AM19" si="11">S7/AK7</f>
        <v>334.26028258477436</v>
      </c>
      <c r="AN7" s="19">
        <f t="shared" si="1"/>
        <v>204.52562816363618</v>
      </c>
      <c r="AO7" s="19">
        <f t="shared" ref="AO7:AO19" si="12">(AA7/(1-AA7))</f>
        <v>0.60914728294083587</v>
      </c>
      <c r="AP7" s="19">
        <f t="shared" si="2"/>
        <v>334.26028258477436</v>
      </c>
      <c r="AQ7" s="35"/>
      <c r="AT7" s="48"/>
      <c r="AU7" s="48"/>
      <c r="AV7" s="48"/>
      <c r="AW7" s="10"/>
    </row>
    <row r="8" spans="2:49" x14ac:dyDescent="0.25">
      <c r="B8" s="3" t="s">
        <v>126</v>
      </c>
      <c r="C8" s="5">
        <v>41.6</v>
      </c>
      <c r="D8" s="2">
        <v>8</v>
      </c>
      <c r="E8" s="2">
        <v>8</v>
      </c>
      <c r="F8" s="2">
        <v>8</v>
      </c>
      <c r="G8" s="2">
        <v>20</v>
      </c>
      <c r="H8" s="2">
        <v>50.2</v>
      </c>
      <c r="I8" s="2">
        <v>4</v>
      </c>
      <c r="J8" s="2">
        <v>0</v>
      </c>
      <c r="K8" s="2">
        <v>1.8</v>
      </c>
      <c r="L8" s="2">
        <v>0</v>
      </c>
      <c r="M8" s="2">
        <v>0</v>
      </c>
      <c r="N8" s="2">
        <v>39.799999999999997</v>
      </c>
      <c r="O8" s="2">
        <v>2200</v>
      </c>
      <c r="P8" s="45">
        <v>0.36805555555555558</v>
      </c>
      <c r="Q8" s="10"/>
      <c r="R8" s="41"/>
      <c r="S8" s="30">
        <f t="shared" si="3"/>
        <v>14.225999999999996</v>
      </c>
      <c r="T8" s="30">
        <v>2</v>
      </c>
      <c r="U8" s="30">
        <f t="shared" si="4"/>
        <v>2.2000000000000028</v>
      </c>
      <c r="V8" s="30">
        <f t="shared" ref="V8:V20" si="13">U8-(U8/6.26)</f>
        <v>1.8485623003194913</v>
      </c>
      <c r="W8" s="30">
        <f t="shared" si="5"/>
        <v>0.35143769968051153</v>
      </c>
      <c r="X8" s="30">
        <f>V7+V8+V6</f>
        <v>4.0332268370607061</v>
      </c>
      <c r="Y8" s="30">
        <f t="shared" ref="Y8:Y20" si="14">8.56-X8</f>
        <v>4.5267731629392944</v>
      </c>
      <c r="Z8" s="30">
        <f t="shared" si="6"/>
        <v>14.577437699680507</v>
      </c>
      <c r="AA8" s="31">
        <f t="shared" si="7"/>
        <v>0.3105328423415939</v>
      </c>
      <c r="AC8" s="18"/>
      <c r="AD8" s="18"/>
      <c r="AE8" s="24"/>
      <c r="AF8" s="25"/>
      <c r="AG8" s="19">
        <v>1</v>
      </c>
      <c r="AH8" s="19">
        <f t="shared" si="8"/>
        <v>1</v>
      </c>
      <c r="AI8" s="19">
        <f t="shared" si="0"/>
        <v>75</v>
      </c>
      <c r="AJ8" s="21">
        <v>0.28699999999999998</v>
      </c>
      <c r="AK8" s="19">
        <f t="shared" si="9"/>
        <v>4.8494748749999997E-2</v>
      </c>
      <c r="AL8" s="19">
        <f t="shared" si="10"/>
        <v>9.6992268370607011</v>
      </c>
      <c r="AM8" s="19">
        <f t="shared" si="11"/>
        <v>293.35134971701439</v>
      </c>
      <c r="AN8" s="19">
        <f t="shared" si="1"/>
        <v>200.0057137539186</v>
      </c>
      <c r="AO8" s="19">
        <f t="shared" si="12"/>
        <v>0.45039540882010537</v>
      </c>
      <c r="AP8" s="19">
        <f t="shared" si="2"/>
        <v>293.35134971701439</v>
      </c>
      <c r="AQ8" s="35"/>
      <c r="AT8" s="48"/>
      <c r="AU8" s="48"/>
      <c r="AV8" s="48"/>
      <c r="AW8" s="10"/>
    </row>
    <row r="9" spans="2:49" x14ac:dyDescent="0.25">
      <c r="B9" s="3" t="s">
        <v>127</v>
      </c>
      <c r="C9" s="5">
        <v>22.3</v>
      </c>
      <c r="D9" s="2">
        <v>8</v>
      </c>
      <c r="E9" s="2">
        <v>8</v>
      </c>
      <c r="F9" s="2">
        <v>8</v>
      </c>
      <c r="G9" s="2">
        <v>20</v>
      </c>
      <c r="H9" s="2">
        <v>8.3000000000000007</v>
      </c>
      <c r="I9" s="2">
        <v>3</v>
      </c>
      <c r="J9" s="2">
        <v>0</v>
      </c>
      <c r="K9" s="2">
        <v>1.8</v>
      </c>
      <c r="L9" s="2">
        <v>0</v>
      </c>
      <c r="M9" s="2">
        <v>0</v>
      </c>
      <c r="N9" s="2">
        <v>38.9</v>
      </c>
      <c r="O9" s="2">
        <v>900</v>
      </c>
      <c r="P9" s="45">
        <v>0.31875000000000003</v>
      </c>
      <c r="Q9" s="10"/>
      <c r="R9" s="41"/>
      <c r="S9" s="30">
        <f t="shared" si="3"/>
        <v>13.325999999999997</v>
      </c>
      <c r="T9" s="30">
        <v>3</v>
      </c>
      <c r="U9" s="30">
        <f t="shared" si="4"/>
        <v>0.89999999999999858</v>
      </c>
      <c r="V9" s="30">
        <f t="shared" si="13"/>
        <v>0.75623003194888061</v>
      </c>
      <c r="W9" s="30">
        <f t="shared" si="5"/>
        <v>0.14376996805111797</v>
      </c>
      <c r="X9" s="30">
        <f>V9+V8+V7+V6</f>
        <v>4.7894568690095873</v>
      </c>
      <c r="Y9" s="30">
        <f t="shared" si="14"/>
        <v>3.7705431309904132</v>
      </c>
      <c r="Z9" s="30">
        <f t="shared" si="6"/>
        <v>13.469769968051114</v>
      </c>
      <c r="AA9" s="31">
        <f t="shared" si="7"/>
        <v>0.27992631944968233</v>
      </c>
      <c r="AC9" s="18"/>
      <c r="AD9" s="18"/>
      <c r="AE9" s="24"/>
      <c r="AF9" s="25"/>
      <c r="AG9" s="19">
        <v>2</v>
      </c>
      <c r="AH9" s="19">
        <f t="shared" si="8"/>
        <v>1</v>
      </c>
      <c r="AI9" s="19">
        <f t="shared" si="0"/>
        <v>75</v>
      </c>
      <c r="AJ9" s="21">
        <v>0.28699999999999998</v>
      </c>
      <c r="AK9" s="19">
        <f t="shared" si="9"/>
        <v>4.8494748749999997E-2</v>
      </c>
      <c r="AL9" s="19">
        <f t="shared" si="10"/>
        <v>9.5554568690095838</v>
      </c>
      <c r="AM9" s="19">
        <f t="shared" si="11"/>
        <v>274.79263927519571</v>
      </c>
      <c r="AN9" s="19">
        <f t="shared" si="1"/>
        <v>197.04106352359614</v>
      </c>
      <c r="AO9" s="19">
        <f t="shared" si="12"/>
        <v>0.38874677274101743</v>
      </c>
      <c r="AP9" s="19">
        <f t="shared" si="2"/>
        <v>274.79263927519571</v>
      </c>
      <c r="AQ9" s="35"/>
      <c r="AT9" s="48"/>
      <c r="AU9" s="48"/>
      <c r="AV9" s="48"/>
      <c r="AW9" s="10"/>
    </row>
    <row r="10" spans="2:49" x14ac:dyDescent="0.25">
      <c r="B10" s="3" t="s">
        <v>128</v>
      </c>
      <c r="C10" s="5">
        <v>39</v>
      </c>
      <c r="D10" s="2">
        <v>9</v>
      </c>
      <c r="E10" s="2">
        <v>9</v>
      </c>
      <c r="F10" s="2">
        <v>9</v>
      </c>
      <c r="G10" s="2">
        <v>20</v>
      </c>
      <c r="H10" s="2">
        <v>12.1</v>
      </c>
      <c r="I10" s="2">
        <v>14</v>
      </c>
      <c r="J10" s="2">
        <v>0</v>
      </c>
      <c r="K10" s="2">
        <v>1.8</v>
      </c>
      <c r="L10" s="2">
        <v>0</v>
      </c>
      <c r="M10" s="2">
        <v>0</v>
      </c>
      <c r="N10" s="2">
        <v>38.200000000000003</v>
      </c>
      <c r="O10" s="2">
        <v>700</v>
      </c>
      <c r="P10" s="45">
        <v>0.30555555555555552</v>
      </c>
      <c r="Q10" s="10"/>
      <c r="R10" s="41"/>
      <c r="S10" s="30">
        <f t="shared" si="3"/>
        <v>12.626000000000001</v>
      </c>
      <c r="T10" s="30">
        <v>4</v>
      </c>
      <c r="U10" s="30">
        <f t="shared" si="4"/>
        <v>0.69999999999999574</v>
      </c>
      <c r="V10" s="30">
        <f t="shared" si="13"/>
        <v>0.58817891373801556</v>
      </c>
      <c r="W10" s="30">
        <f t="shared" si="5"/>
        <v>0.11182108626198017</v>
      </c>
      <c r="X10" s="30">
        <f>V10+V9+V8+V7+V6</f>
        <v>5.3776357827476033</v>
      </c>
      <c r="Y10" s="30">
        <f t="shared" si="14"/>
        <v>3.1823642172523972</v>
      </c>
      <c r="Z10" s="30">
        <f t="shared" si="6"/>
        <v>12.737821086261981</v>
      </c>
      <c r="AA10" s="31">
        <f t="shared" si="7"/>
        <v>0.24983583893203262</v>
      </c>
      <c r="AC10" s="18"/>
      <c r="AD10" s="18"/>
      <c r="AE10" s="24"/>
      <c r="AF10" s="25"/>
      <c r="AG10" s="19">
        <v>2</v>
      </c>
      <c r="AH10" s="19">
        <f t="shared" si="8"/>
        <v>0</v>
      </c>
      <c r="AI10" s="19">
        <f t="shared" si="0"/>
        <v>76</v>
      </c>
      <c r="AJ10" s="21">
        <v>0.28699999999999998</v>
      </c>
      <c r="AK10" s="19">
        <f t="shared" si="9"/>
        <v>4.9141345399999994E-2</v>
      </c>
      <c r="AL10" s="19">
        <f t="shared" si="10"/>
        <v>9.4436357827476041</v>
      </c>
      <c r="AM10" s="19">
        <f t="shared" si="11"/>
        <v>256.93232241052976</v>
      </c>
      <c r="AN10" s="19">
        <f t="shared" si="1"/>
        <v>192.17291887062589</v>
      </c>
      <c r="AO10" s="19">
        <f t="shared" si="12"/>
        <v>0.33304155529951618</v>
      </c>
      <c r="AP10" s="19">
        <f t="shared" si="2"/>
        <v>256.93232241052976</v>
      </c>
      <c r="AQ10" s="35"/>
      <c r="AT10" s="48"/>
      <c r="AU10" s="48"/>
      <c r="AV10" s="48"/>
      <c r="AW10" s="10"/>
    </row>
    <row r="11" spans="2:49" x14ac:dyDescent="0.25">
      <c r="B11" s="3" t="s">
        <v>129</v>
      </c>
      <c r="C11" s="5">
        <v>19.7</v>
      </c>
      <c r="D11" s="2">
        <v>9</v>
      </c>
      <c r="E11" s="2">
        <v>9</v>
      </c>
      <c r="F11" s="2">
        <v>9</v>
      </c>
      <c r="G11" s="2">
        <v>20</v>
      </c>
      <c r="H11" s="2">
        <v>6.5</v>
      </c>
      <c r="I11" s="2">
        <v>4</v>
      </c>
      <c r="J11" s="2">
        <v>0</v>
      </c>
      <c r="K11" s="2">
        <v>1.8</v>
      </c>
      <c r="L11" s="2">
        <v>0</v>
      </c>
      <c r="M11" s="2">
        <v>0</v>
      </c>
      <c r="N11" s="2">
        <v>37.700000000000003</v>
      </c>
      <c r="O11" s="2">
        <v>500</v>
      </c>
      <c r="P11" s="45">
        <v>0.30694444444444441</v>
      </c>
      <c r="Q11" s="10"/>
      <c r="R11" s="41"/>
      <c r="S11" s="30">
        <f t="shared" si="3"/>
        <v>12.126000000000001</v>
      </c>
      <c r="T11" s="30">
        <v>5</v>
      </c>
      <c r="U11" s="30">
        <f t="shared" si="4"/>
        <v>0.5</v>
      </c>
      <c r="V11" s="30">
        <f t="shared" si="13"/>
        <v>0.42012779552715657</v>
      </c>
      <c r="W11" s="30">
        <f t="shared" si="5"/>
        <v>7.9872204472843433E-2</v>
      </c>
      <c r="X11" s="30">
        <f>V11+V10+V9+V8+V7+V6</f>
        <v>5.7977635782747594</v>
      </c>
      <c r="Y11" s="30">
        <f t="shared" si="14"/>
        <v>2.7622364217252411</v>
      </c>
      <c r="Z11" s="30">
        <f t="shared" si="6"/>
        <v>12.205872204472845</v>
      </c>
      <c r="AA11" s="31">
        <f t="shared" si="7"/>
        <v>0.22630389499842696</v>
      </c>
      <c r="AC11" s="18"/>
      <c r="AD11" s="18"/>
      <c r="AE11" s="24"/>
      <c r="AF11" s="25"/>
      <c r="AG11" s="19">
        <v>2</v>
      </c>
      <c r="AH11" s="19">
        <f t="shared" si="8"/>
        <v>0</v>
      </c>
      <c r="AI11" s="19">
        <f t="shared" si="0"/>
        <v>76</v>
      </c>
      <c r="AJ11" s="21">
        <v>0.28699999999999998</v>
      </c>
      <c r="AK11" s="19">
        <f t="shared" si="9"/>
        <v>4.9141345399999994E-2</v>
      </c>
      <c r="AL11" s="19">
        <f t="shared" si="10"/>
        <v>9.3637635782747601</v>
      </c>
      <c r="AM11" s="19">
        <f t="shared" si="11"/>
        <v>246.75759080865544</v>
      </c>
      <c r="AN11" s="19">
        <f t="shared" si="1"/>
        <v>190.54756238470347</v>
      </c>
      <c r="AO11" s="19">
        <f t="shared" si="12"/>
        <v>0.29249713619531126</v>
      </c>
      <c r="AP11" s="19">
        <f t="shared" si="2"/>
        <v>246.75759080865544</v>
      </c>
      <c r="AQ11" s="35"/>
      <c r="AT11" s="48"/>
      <c r="AU11" s="48"/>
      <c r="AV11" s="48"/>
      <c r="AW11" s="10"/>
    </row>
    <row r="12" spans="2:49" x14ac:dyDescent="0.25">
      <c r="B12" s="3" t="s">
        <v>130</v>
      </c>
      <c r="C12" s="5">
        <v>17.2</v>
      </c>
      <c r="D12" s="2">
        <v>11</v>
      </c>
      <c r="E12" s="2">
        <v>11</v>
      </c>
      <c r="F12" s="2">
        <v>11</v>
      </c>
      <c r="G12" s="2">
        <v>20</v>
      </c>
      <c r="H12" s="2">
        <v>5.6</v>
      </c>
      <c r="I12" s="2">
        <v>4</v>
      </c>
      <c r="J12" s="2">
        <v>0</v>
      </c>
      <c r="K12" s="2">
        <v>1.8</v>
      </c>
      <c r="L12" s="2">
        <v>0</v>
      </c>
      <c r="M12" s="2">
        <v>0</v>
      </c>
      <c r="N12" s="2">
        <v>37.4</v>
      </c>
      <c r="O12" s="2">
        <v>300</v>
      </c>
      <c r="P12" s="45">
        <v>0.30694444444444441</v>
      </c>
      <c r="Q12" s="10"/>
      <c r="R12" s="41"/>
      <c r="S12" s="30">
        <f t="shared" si="3"/>
        <v>11.825999999999997</v>
      </c>
      <c r="T12" s="30">
        <v>6</v>
      </c>
      <c r="U12" s="30">
        <f t="shared" si="4"/>
        <v>0.30000000000000426</v>
      </c>
      <c r="V12" s="30">
        <f t="shared" si="13"/>
        <v>0.25207667731629751</v>
      </c>
      <c r="W12" s="30">
        <f t="shared" si="5"/>
        <v>4.7923322683706748E-2</v>
      </c>
      <c r="X12" s="30">
        <f>V12+V11+V10+V9+V8+V7+V6</f>
        <v>6.0498402555910573</v>
      </c>
      <c r="Y12" s="30">
        <f t="shared" si="14"/>
        <v>2.5101597444089432</v>
      </c>
      <c r="Z12" s="30">
        <f t="shared" si="6"/>
        <v>11.873923322683703</v>
      </c>
      <c r="AA12" s="31">
        <f t="shared" si="7"/>
        <v>0.21140104043063718</v>
      </c>
      <c r="AC12" s="18"/>
      <c r="AD12" s="18"/>
      <c r="AE12" s="24"/>
      <c r="AF12" s="25"/>
      <c r="AG12" s="19">
        <v>2</v>
      </c>
      <c r="AH12" s="19">
        <f t="shared" si="8"/>
        <v>0</v>
      </c>
      <c r="AI12" s="19">
        <f t="shared" si="0"/>
        <v>76</v>
      </c>
      <c r="AJ12" s="21">
        <v>0.28699999999999998</v>
      </c>
      <c r="AK12" s="19">
        <f t="shared" si="9"/>
        <v>4.9141345399999994E-2</v>
      </c>
      <c r="AL12" s="19">
        <f t="shared" si="10"/>
        <v>9.3158402555910538</v>
      </c>
      <c r="AM12" s="19">
        <f t="shared" si="11"/>
        <v>240.65275184753079</v>
      </c>
      <c r="AN12" s="19">
        <f t="shared" si="1"/>
        <v>189.57234849315003</v>
      </c>
      <c r="AO12" s="19">
        <f t="shared" si="12"/>
        <v>0.26807167048011177</v>
      </c>
      <c r="AP12" s="19">
        <f t="shared" si="2"/>
        <v>240.65275184753079</v>
      </c>
      <c r="AQ12" s="35"/>
      <c r="AT12" s="48"/>
      <c r="AU12" s="48"/>
      <c r="AV12" s="48"/>
      <c r="AW12" s="10"/>
    </row>
    <row r="13" spans="2:49" x14ac:dyDescent="0.25">
      <c r="B13" s="3" t="s">
        <v>131</v>
      </c>
      <c r="C13" s="5">
        <v>16.100000000000001</v>
      </c>
      <c r="D13" s="2">
        <v>11</v>
      </c>
      <c r="E13" s="2">
        <v>11</v>
      </c>
      <c r="F13" s="2">
        <v>11</v>
      </c>
      <c r="G13" s="2">
        <v>20</v>
      </c>
      <c r="H13" s="2">
        <v>5.0999999999999996</v>
      </c>
      <c r="I13" s="2">
        <v>4</v>
      </c>
      <c r="J13" s="2">
        <v>0</v>
      </c>
      <c r="K13" s="2">
        <v>1.8</v>
      </c>
      <c r="L13" s="2">
        <v>0</v>
      </c>
      <c r="M13" s="2">
        <v>0</v>
      </c>
      <c r="N13" s="2">
        <v>37.200000000000003</v>
      </c>
      <c r="O13" s="2">
        <v>200</v>
      </c>
      <c r="P13" s="45">
        <v>0.31736111111111115</v>
      </c>
      <c r="Q13" s="10"/>
      <c r="R13" s="41"/>
      <c r="S13" s="30">
        <f t="shared" si="3"/>
        <v>11.626000000000001</v>
      </c>
      <c r="T13" s="30">
        <v>7</v>
      </c>
      <c r="U13" s="30">
        <f t="shared" si="4"/>
        <v>0.19999999999999574</v>
      </c>
      <c r="V13" s="30">
        <f t="shared" si="13"/>
        <v>0.16805111821085905</v>
      </c>
      <c r="W13" s="30">
        <f t="shared" si="5"/>
        <v>3.1948881789136685E-2</v>
      </c>
      <c r="X13" s="30">
        <f>V13+V12+V11+V10+V9+V8+V7+V6</f>
        <v>6.2178913738019155</v>
      </c>
      <c r="Y13" s="30">
        <f t="shared" si="14"/>
        <v>2.342108626198085</v>
      </c>
      <c r="Z13" s="30">
        <f t="shared" si="6"/>
        <v>11.657948881789139</v>
      </c>
      <c r="AA13" s="31">
        <f t="shared" si="7"/>
        <v>0.20090228992654863</v>
      </c>
      <c r="AC13" s="18"/>
      <c r="AD13" s="18"/>
      <c r="AE13" s="24"/>
      <c r="AF13" s="25"/>
      <c r="AG13" s="19">
        <v>3</v>
      </c>
      <c r="AH13" s="19">
        <f t="shared" si="8"/>
        <v>1</v>
      </c>
      <c r="AI13" s="19">
        <f t="shared" si="0"/>
        <v>75</v>
      </c>
      <c r="AJ13" s="21">
        <v>0.28699999999999998</v>
      </c>
      <c r="AK13" s="19">
        <f t="shared" si="9"/>
        <v>4.8494748749999997E-2</v>
      </c>
      <c r="AL13" s="19">
        <f t="shared" si="10"/>
        <v>9.283891373801918</v>
      </c>
      <c r="AM13" s="19">
        <f t="shared" si="11"/>
        <v>239.73729732953822</v>
      </c>
      <c r="AN13" s="19">
        <f t="shared" si="1"/>
        <v>191.44116864409816</v>
      </c>
      <c r="AO13" s="19">
        <f t="shared" si="12"/>
        <v>0.25141141989767701</v>
      </c>
      <c r="AP13" s="19">
        <f t="shared" si="2"/>
        <v>239.73729732953822</v>
      </c>
      <c r="AQ13" s="35"/>
      <c r="AT13" s="48"/>
      <c r="AU13" s="48"/>
      <c r="AV13" s="48"/>
      <c r="AW13" s="10"/>
    </row>
    <row r="14" spans="2:49" x14ac:dyDescent="0.25">
      <c r="B14" s="3" t="s">
        <v>132</v>
      </c>
      <c r="C14" s="5">
        <v>13.5</v>
      </c>
      <c r="D14" s="2">
        <v>11</v>
      </c>
      <c r="E14" s="2">
        <v>11</v>
      </c>
      <c r="F14" s="2">
        <v>11</v>
      </c>
      <c r="G14" s="2">
        <v>20</v>
      </c>
      <c r="H14" s="2">
        <v>4.5</v>
      </c>
      <c r="I14" s="2">
        <v>2</v>
      </c>
      <c r="J14" s="2">
        <v>0</v>
      </c>
      <c r="K14" s="2">
        <v>1.8</v>
      </c>
      <c r="L14" s="2">
        <v>0</v>
      </c>
      <c r="M14" s="2">
        <v>0</v>
      </c>
      <c r="N14" s="2">
        <v>37</v>
      </c>
      <c r="O14" s="2">
        <v>200</v>
      </c>
      <c r="P14" s="45">
        <v>0.31388888888888888</v>
      </c>
      <c r="Q14" s="10"/>
      <c r="R14" s="41"/>
      <c r="S14" s="30">
        <f t="shared" si="3"/>
        <v>11.425999999999998</v>
      </c>
      <c r="T14" s="30">
        <v>8</v>
      </c>
      <c r="U14" s="30">
        <f t="shared" si="4"/>
        <v>0.20000000000000284</v>
      </c>
      <c r="V14" s="30">
        <f t="shared" si="13"/>
        <v>0.16805111821086499</v>
      </c>
      <c r="W14" s="30">
        <f t="shared" si="5"/>
        <v>3.1948881789137851E-2</v>
      </c>
      <c r="X14" s="30">
        <f>V14+V13+V12+V11+V10+V9+V8+V7+V6</f>
        <v>6.3859424920127807</v>
      </c>
      <c r="Y14" s="30">
        <f t="shared" si="14"/>
        <v>2.1740575079872198</v>
      </c>
      <c r="Z14" s="30">
        <f t="shared" si="6"/>
        <v>11.457948881789136</v>
      </c>
      <c r="AA14" s="31">
        <f t="shared" si="7"/>
        <v>0.18974229422882055</v>
      </c>
      <c r="AC14" s="18"/>
      <c r="AD14" s="18"/>
      <c r="AE14" s="24"/>
      <c r="AF14" s="25"/>
      <c r="AG14" s="19">
        <v>3</v>
      </c>
      <c r="AH14" s="19">
        <f t="shared" si="8"/>
        <v>0</v>
      </c>
      <c r="AI14" s="19">
        <f t="shared" si="0"/>
        <v>76</v>
      </c>
      <c r="AJ14" s="21">
        <v>0.28699999999999998</v>
      </c>
      <c r="AK14" s="19">
        <f t="shared" si="9"/>
        <v>4.9141345399999994E-2</v>
      </c>
      <c r="AL14" s="19">
        <f t="shared" si="10"/>
        <v>9.2519424920127804</v>
      </c>
      <c r="AM14" s="19">
        <f t="shared" si="11"/>
        <v>232.51296656603137</v>
      </c>
      <c r="AN14" s="19">
        <f t="shared" si="1"/>
        <v>188.27206330441211</v>
      </c>
      <c r="AO14" s="19">
        <f t="shared" si="12"/>
        <v>0.23417524187348443</v>
      </c>
      <c r="AP14" s="19">
        <f t="shared" si="2"/>
        <v>232.51296656603137</v>
      </c>
      <c r="AQ14" s="35"/>
      <c r="AT14" s="48"/>
      <c r="AU14" s="48"/>
      <c r="AV14" s="48"/>
      <c r="AW14" s="10"/>
    </row>
    <row r="15" spans="2:49" x14ac:dyDescent="0.25">
      <c r="B15" s="3" t="s">
        <v>133</v>
      </c>
      <c r="C15" s="5">
        <v>17.100000000000001</v>
      </c>
      <c r="D15" s="2">
        <v>13</v>
      </c>
      <c r="E15" s="2">
        <v>13</v>
      </c>
      <c r="F15" s="2">
        <v>13</v>
      </c>
      <c r="G15" s="2">
        <v>20</v>
      </c>
      <c r="H15" s="2">
        <v>5.2</v>
      </c>
      <c r="I15" s="2">
        <v>3</v>
      </c>
      <c r="J15" s="2">
        <v>0</v>
      </c>
      <c r="K15" s="2">
        <v>1.8</v>
      </c>
      <c r="L15" s="2">
        <v>0</v>
      </c>
      <c r="M15" s="2">
        <v>0</v>
      </c>
      <c r="N15" s="2">
        <v>36.799999999999997</v>
      </c>
      <c r="O15" s="2">
        <v>200</v>
      </c>
      <c r="P15" s="45">
        <v>0.35902777777777778</v>
      </c>
      <c r="Q15" s="10"/>
      <c r="R15" s="41"/>
      <c r="S15" s="30">
        <f t="shared" si="3"/>
        <v>11.225999999999996</v>
      </c>
      <c r="T15" s="30">
        <v>9</v>
      </c>
      <c r="U15" s="30">
        <f t="shared" si="4"/>
        <v>0.20000000000000284</v>
      </c>
      <c r="V15" s="30">
        <f t="shared" si="13"/>
        <v>0.16805111821086499</v>
      </c>
      <c r="W15" s="30">
        <f t="shared" si="5"/>
        <v>3.1948881789137851E-2</v>
      </c>
      <c r="X15" s="30">
        <f>V15+V14+V13+V12+V11+V10+V9+V8+V7+V6</f>
        <v>6.553993610223646</v>
      </c>
      <c r="Y15" s="30">
        <f t="shared" si="14"/>
        <v>2.0060063897763545</v>
      </c>
      <c r="Z15" s="30">
        <f t="shared" si="6"/>
        <v>11.257948881789133</v>
      </c>
      <c r="AA15" s="31">
        <f t="shared" si="7"/>
        <v>0.17818577885188944</v>
      </c>
      <c r="AC15" s="18"/>
      <c r="AD15" s="18"/>
      <c r="AE15" s="24"/>
      <c r="AF15" s="25"/>
      <c r="AG15" s="19">
        <v>4</v>
      </c>
      <c r="AH15" s="19">
        <f t="shared" si="8"/>
        <v>1</v>
      </c>
      <c r="AI15" s="19">
        <f t="shared" si="0"/>
        <v>75</v>
      </c>
      <c r="AJ15" s="21">
        <v>0.28699999999999998</v>
      </c>
      <c r="AK15" s="19">
        <f t="shared" si="9"/>
        <v>4.8494748749999997E-2</v>
      </c>
      <c r="AL15" s="19">
        <f t="shared" si="10"/>
        <v>9.2199936102236428</v>
      </c>
      <c r="AM15" s="19">
        <f t="shared" si="11"/>
        <v>231.48898157761869</v>
      </c>
      <c r="AN15" s="19">
        <f t="shared" si="1"/>
        <v>190.12354631951038</v>
      </c>
      <c r="AO15" s="19">
        <f t="shared" si="12"/>
        <v>0.21682002363375519</v>
      </c>
      <c r="AP15" s="19">
        <f t="shared" si="2"/>
        <v>231.48898157761869</v>
      </c>
      <c r="AQ15" s="35"/>
      <c r="AT15" s="48"/>
      <c r="AU15" s="48"/>
      <c r="AV15" s="48"/>
      <c r="AW15" s="10"/>
    </row>
    <row r="16" spans="2:49" x14ac:dyDescent="0.25">
      <c r="B16" s="3" t="s">
        <v>134</v>
      </c>
      <c r="C16" s="5">
        <v>16.8</v>
      </c>
      <c r="D16" s="2">
        <v>13</v>
      </c>
      <c r="E16" s="2">
        <v>13</v>
      </c>
      <c r="F16" s="2">
        <v>13</v>
      </c>
      <c r="G16" s="2">
        <v>20</v>
      </c>
      <c r="H16" s="2">
        <v>4.9000000000000004</v>
      </c>
      <c r="I16" s="2">
        <v>1</v>
      </c>
      <c r="J16" s="2">
        <v>0</v>
      </c>
      <c r="K16" s="2">
        <v>1.8</v>
      </c>
      <c r="L16" s="2">
        <v>0</v>
      </c>
      <c r="M16" s="2">
        <v>0</v>
      </c>
      <c r="N16" s="2">
        <v>36.5</v>
      </c>
      <c r="O16" s="2">
        <v>300</v>
      </c>
      <c r="P16" s="45">
        <v>0.3354166666666667</v>
      </c>
      <c r="Q16" s="10"/>
      <c r="R16" s="41"/>
      <c r="S16" s="30">
        <f t="shared" si="3"/>
        <v>10.925999999999998</v>
      </c>
      <c r="T16" s="30">
        <v>10</v>
      </c>
      <c r="U16" s="30">
        <f t="shared" si="4"/>
        <v>0.29999999999999716</v>
      </c>
      <c r="V16" s="30">
        <f t="shared" si="13"/>
        <v>0.25207667731629152</v>
      </c>
      <c r="W16" s="30">
        <f t="shared" si="5"/>
        <v>4.7923322683705638E-2</v>
      </c>
      <c r="X16" s="30">
        <f>V16+V15+V14+V13+V12+V11+V10+V9+V8+V7+V6</f>
        <v>6.8060702875399368</v>
      </c>
      <c r="Y16" s="30">
        <f t="shared" si="14"/>
        <v>1.7539297124600637</v>
      </c>
      <c r="Z16" s="30">
        <f t="shared" si="6"/>
        <v>10.973923322683705</v>
      </c>
      <c r="AA16" s="31">
        <f t="shared" si="7"/>
        <v>0.1598270427892087</v>
      </c>
      <c r="AC16" s="18"/>
      <c r="AD16" s="18"/>
      <c r="AE16" s="24"/>
      <c r="AF16" s="25"/>
      <c r="AG16" s="19">
        <v>4</v>
      </c>
      <c r="AH16" s="19">
        <f t="shared" si="8"/>
        <v>0</v>
      </c>
      <c r="AI16" s="19">
        <f t="shared" si="0"/>
        <v>76</v>
      </c>
      <c r="AJ16" s="21">
        <v>0.28699999999999998</v>
      </c>
      <c r="AK16" s="19">
        <f t="shared" si="9"/>
        <v>4.9141345399999994E-2</v>
      </c>
      <c r="AL16" s="19">
        <f t="shared" si="10"/>
        <v>9.1720702875399365</v>
      </c>
      <c r="AM16" s="19">
        <f t="shared" si="11"/>
        <v>222.33823496415707</v>
      </c>
      <c r="AN16" s="19">
        <f t="shared" si="1"/>
        <v>186.64670681848969</v>
      </c>
      <c r="AO16" s="19">
        <f t="shared" si="12"/>
        <v>0.19023112017292604</v>
      </c>
      <c r="AP16" s="19">
        <f t="shared" si="2"/>
        <v>222.33823496415707</v>
      </c>
      <c r="AQ16" s="35"/>
      <c r="AT16" s="48"/>
      <c r="AU16" s="48"/>
      <c r="AV16" s="48"/>
      <c r="AW16" s="10"/>
    </row>
    <row r="17" spans="2:49" x14ac:dyDescent="0.25">
      <c r="B17" s="6" t="s">
        <v>135</v>
      </c>
      <c r="C17" s="5">
        <v>16.3</v>
      </c>
      <c r="D17" s="2">
        <v>13</v>
      </c>
      <c r="E17" s="2">
        <v>13</v>
      </c>
      <c r="F17" s="2">
        <v>13</v>
      </c>
      <c r="G17" s="2">
        <v>20</v>
      </c>
      <c r="H17" s="2">
        <v>5.6</v>
      </c>
      <c r="I17" s="2">
        <v>3</v>
      </c>
      <c r="J17" s="2">
        <v>0</v>
      </c>
      <c r="K17" s="2">
        <v>1.8</v>
      </c>
      <c r="L17" s="2">
        <v>0</v>
      </c>
      <c r="M17" s="2">
        <v>0</v>
      </c>
      <c r="N17" s="2">
        <v>36.299999999999997</v>
      </c>
      <c r="O17" s="2">
        <v>200</v>
      </c>
      <c r="P17" s="45">
        <v>0.31388888888888888</v>
      </c>
      <c r="Q17" s="10"/>
      <c r="R17" s="41"/>
      <c r="S17" s="30">
        <f t="shared" si="3"/>
        <v>10.725999999999996</v>
      </c>
      <c r="T17" s="30">
        <v>11</v>
      </c>
      <c r="U17" s="30">
        <f t="shared" si="4"/>
        <v>0.20000000000000284</v>
      </c>
      <c r="V17" s="30">
        <f t="shared" si="13"/>
        <v>0.16805111821086499</v>
      </c>
      <c r="W17" s="30">
        <f t="shared" si="5"/>
        <v>3.1948881789137851E-2</v>
      </c>
      <c r="X17" s="30">
        <f>V17+V16+V15+V14+V13+V12+V11+V10+V9+V8+V7+V6</f>
        <v>6.9741214057508021</v>
      </c>
      <c r="Y17" s="30">
        <f t="shared" si="14"/>
        <v>1.5858785942491984</v>
      </c>
      <c r="Z17" s="30">
        <f t="shared" si="6"/>
        <v>10.757948881789133</v>
      </c>
      <c r="AA17" s="31">
        <f t="shared" si="7"/>
        <v>0.14741458726707149</v>
      </c>
      <c r="AC17" s="18"/>
      <c r="AD17" s="18"/>
      <c r="AE17" s="24"/>
      <c r="AF17" s="25"/>
      <c r="AG17" s="19">
        <v>4</v>
      </c>
      <c r="AH17" s="19">
        <f t="shared" si="8"/>
        <v>0</v>
      </c>
      <c r="AI17" s="19">
        <f t="shared" si="0"/>
        <v>76</v>
      </c>
      <c r="AJ17" s="21">
        <v>0.28699999999999998</v>
      </c>
      <c r="AK17" s="19">
        <f t="shared" si="9"/>
        <v>4.9141345399999994E-2</v>
      </c>
      <c r="AL17" s="19">
        <f t="shared" si="10"/>
        <v>9.1401214057507989</v>
      </c>
      <c r="AM17" s="19">
        <f t="shared" si="11"/>
        <v>218.2683423234073</v>
      </c>
      <c r="AN17" s="19">
        <f t="shared" si="1"/>
        <v>185.99656422412073</v>
      </c>
      <c r="AO17" s="19">
        <f t="shared" si="12"/>
        <v>0.17290301366351074</v>
      </c>
      <c r="AP17" s="19">
        <f t="shared" si="2"/>
        <v>218.2683423234073</v>
      </c>
      <c r="AQ17" s="35"/>
      <c r="AT17" s="48"/>
      <c r="AU17" s="48"/>
      <c r="AV17" s="48"/>
      <c r="AW17" s="10"/>
    </row>
    <row r="18" spans="2:49" x14ac:dyDescent="0.25">
      <c r="B18" s="3" t="s">
        <v>136</v>
      </c>
      <c r="C18" s="5">
        <v>16.3</v>
      </c>
      <c r="D18" s="2">
        <v>13</v>
      </c>
      <c r="E18" s="2">
        <v>13</v>
      </c>
      <c r="F18" s="2">
        <v>13</v>
      </c>
      <c r="G18" s="2">
        <v>20</v>
      </c>
      <c r="H18" s="2">
        <v>11.8</v>
      </c>
      <c r="I18" s="2">
        <v>5</v>
      </c>
      <c r="J18" s="2">
        <v>0</v>
      </c>
      <c r="K18" s="2">
        <v>1.8</v>
      </c>
      <c r="L18" s="2">
        <v>0</v>
      </c>
      <c r="M18" s="2">
        <v>0</v>
      </c>
      <c r="N18" s="2">
        <v>36.1</v>
      </c>
      <c r="O18" s="2">
        <v>200</v>
      </c>
      <c r="P18" s="45">
        <v>0.31180555555555556</v>
      </c>
      <c r="Q18" s="10"/>
      <c r="R18" s="41"/>
      <c r="S18" s="30">
        <f t="shared" si="3"/>
        <v>10.526</v>
      </c>
      <c r="T18" s="30">
        <v>12</v>
      </c>
      <c r="U18" s="30">
        <f t="shared" si="4"/>
        <v>0.19999999999999574</v>
      </c>
      <c r="V18" s="30">
        <f t="shared" si="13"/>
        <v>0.16805111821085905</v>
      </c>
      <c r="W18" s="30">
        <f t="shared" si="5"/>
        <v>3.1948881789136685E-2</v>
      </c>
      <c r="X18" s="30">
        <f>V18+V17+V16+V15+V14+V13+V12+V11+V10+V9+V8+V7+V6</f>
        <v>7.142172523961662</v>
      </c>
      <c r="Y18" s="30">
        <f t="shared" si="14"/>
        <v>1.4178274760383385</v>
      </c>
      <c r="Z18" s="30">
        <f t="shared" si="6"/>
        <v>10.557948881789137</v>
      </c>
      <c r="AA18" s="31">
        <f t="shared" si="7"/>
        <v>0.13429004931856378</v>
      </c>
      <c r="AC18" s="18"/>
      <c r="AD18" s="18"/>
      <c r="AE18" s="24"/>
      <c r="AF18" s="25"/>
      <c r="AG18" s="19">
        <v>5</v>
      </c>
      <c r="AH18" s="19">
        <f t="shared" si="8"/>
        <v>1</v>
      </c>
      <c r="AI18" s="19">
        <f t="shared" si="0"/>
        <v>75</v>
      </c>
      <c r="AJ18" s="21">
        <v>0.28699999999999998</v>
      </c>
      <c r="AK18" s="19">
        <f t="shared" si="9"/>
        <v>4.8494748749999997E-2</v>
      </c>
      <c r="AL18" s="19">
        <f t="shared" si="10"/>
        <v>9.1081725239616631</v>
      </c>
      <c r="AM18" s="19">
        <f t="shared" si="11"/>
        <v>217.05442901175977</v>
      </c>
      <c r="AN18" s="19">
        <f t="shared" si="1"/>
        <v>187.81770725148181</v>
      </c>
      <c r="AO18" s="19">
        <f t="shared" si="12"/>
        <v>0.15512129577909844</v>
      </c>
      <c r="AP18" s="19">
        <f t="shared" si="2"/>
        <v>217.05442901175977</v>
      </c>
      <c r="AQ18" s="35"/>
      <c r="AT18" s="48"/>
      <c r="AU18" s="48"/>
      <c r="AV18" s="48"/>
      <c r="AW18" s="10"/>
    </row>
    <row r="19" spans="2:49" x14ac:dyDescent="0.25">
      <c r="B19" s="3" t="s">
        <v>137</v>
      </c>
      <c r="C19" s="5">
        <v>17</v>
      </c>
      <c r="D19" s="2">
        <v>13</v>
      </c>
      <c r="E19" s="2">
        <v>13</v>
      </c>
      <c r="F19" s="2">
        <v>13</v>
      </c>
      <c r="G19" s="2">
        <v>20</v>
      </c>
      <c r="H19" s="2">
        <v>12.3</v>
      </c>
      <c r="I19" s="2">
        <v>8</v>
      </c>
      <c r="J19" s="2">
        <v>0</v>
      </c>
      <c r="K19" s="2">
        <v>1.8</v>
      </c>
      <c r="L19" s="2">
        <v>0</v>
      </c>
      <c r="M19" s="2">
        <v>0</v>
      </c>
      <c r="N19" s="2">
        <v>36</v>
      </c>
      <c r="O19" s="2">
        <v>100</v>
      </c>
      <c r="P19" s="45">
        <v>0.30555555555555552</v>
      </c>
      <c r="Q19" s="10"/>
      <c r="R19" s="41"/>
      <c r="S19" s="30">
        <f t="shared" si="3"/>
        <v>10.425999999999998</v>
      </c>
      <c r="T19" s="30">
        <v>13</v>
      </c>
      <c r="U19" s="30">
        <f t="shared" si="4"/>
        <v>0.10000000000000142</v>
      </c>
      <c r="V19" s="30">
        <f t="shared" si="13"/>
        <v>8.4025559105432496E-2</v>
      </c>
      <c r="W19" s="30">
        <f t="shared" si="5"/>
        <v>1.5974440894568925E-2</v>
      </c>
      <c r="X19" s="30">
        <f>V19+V18+V17+V16+V15+V14+V13+V12+V11+V10+V9+V8+V7+V6</f>
        <v>7.2261980830670929</v>
      </c>
      <c r="Y19" s="30">
        <f t="shared" si="14"/>
        <v>1.3338019169329076</v>
      </c>
      <c r="Z19" s="30">
        <f t="shared" si="6"/>
        <v>10.441974440894567</v>
      </c>
      <c r="AA19" s="31">
        <f t="shared" si="7"/>
        <v>0.12773464678377822</v>
      </c>
      <c r="AC19" s="18"/>
      <c r="AD19" s="18"/>
      <c r="AG19" s="19">
        <v>5</v>
      </c>
      <c r="AH19" s="19">
        <f t="shared" si="8"/>
        <v>0</v>
      </c>
      <c r="AI19" s="19">
        <f t="shared" si="0"/>
        <v>76</v>
      </c>
      <c r="AJ19" s="21">
        <v>0.28699999999999998</v>
      </c>
      <c r="AK19" s="19">
        <f t="shared" si="9"/>
        <v>4.9141345399999994E-2</v>
      </c>
      <c r="AL19" s="19">
        <f t="shared" si="10"/>
        <v>9.0921980830670943</v>
      </c>
      <c r="AM19" s="19">
        <f t="shared" si="11"/>
        <v>212.1635033622828</v>
      </c>
      <c r="AN19" s="19">
        <f t="shared" si="1"/>
        <v>185.02135033256732</v>
      </c>
      <c r="AO19" s="19">
        <f t="shared" si="12"/>
        <v>0.14644012434151407</v>
      </c>
      <c r="AP19" s="19">
        <f t="shared" si="2"/>
        <v>212.1635033622828</v>
      </c>
      <c r="AQ19" s="35"/>
      <c r="AT19" s="48"/>
      <c r="AU19" s="48"/>
      <c r="AV19" s="48"/>
      <c r="AW19" s="10"/>
    </row>
    <row r="20" spans="2:49" x14ac:dyDescent="0.25">
      <c r="B20" s="3" t="s">
        <v>138</v>
      </c>
      <c r="C20" s="5">
        <v>16.8</v>
      </c>
      <c r="D20" s="2">
        <v>13</v>
      </c>
      <c r="E20" s="2">
        <v>13</v>
      </c>
      <c r="F20" s="2">
        <v>13</v>
      </c>
      <c r="G20" s="2">
        <v>20</v>
      </c>
      <c r="H20" s="2">
        <v>13.5</v>
      </c>
      <c r="I20" s="2">
        <v>9</v>
      </c>
      <c r="J20" s="2">
        <v>0</v>
      </c>
      <c r="K20" s="2">
        <v>1.8</v>
      </c>
      <c r="L20" s="2">
        <v>0</v>
      </c>
      <c r="M20" s="2">
        <v>0</v>
      </c>
      <c r="N20" s="2">
        <v>35.9</v>
      </c>
      <c r="O20" s="2">
        <v>100</v>
      </c>
      <c r="P20" s="45">
        <v>0.32430555555555557</v>
      </c>
      <c r="Q20" s="39"/>
      <c r="R20" s="41"/>
      <c r="S20" s="30">
        <f t="shared" si="3"/>
        <v>10.325999999999997</v>
      </c>
      <c r="T20" s="30">
        <v>14</v>
      </c>
      <c r="U20" s="30">
        <f t="shared" ref="U20" si="15">S19-S20</f>
        <v>0.10000000000000142</v>
      </c>
      <c r="V20" s="30">
        <f t="shared" si="13"/>
        <v>8.4025559105432496E-2</v>
      </c>
      <c r="W20" s="30">
        <f t="shared" ref="W20" si="16">U20-V20</f>
        <v>1.5974440894568925E-2</v>
      </c>
      <c r="X20" s="30">
        <f>V20+V19+V18+V17+V16+V15+V14+V13+V12+V11+V10+V9+V8+V7</f>
        <v>7.3102236421725255</v>
      </c>
      <c r="Y20" s="30">
        <f t="shared" si="14"/>
        <v>1.249776357827475</v>
      </c>
      <c r="Z20" s="30">
        <f t="shared" ref="Z20" si="17">S19-V20</f>
        <v>10.341974440894566</v>
      </c>
      <c r="AA20" s="31">
        <f t="shared" ref="AA20" si="18">Y20/Z20</f>
        <v>0.12084504414220648</v>
      </c>
      <c r="AE20" s="26" t="s">
        <v>310</v>
      </c>
      <c r="AF20" s="27">
        <v>1450</v>
      </c>
      <c r="AG20" s="19">
        <v>6</v>
      </c>
      <c r="AH20" s="19">
        <f t="shared" ref="AH20" si="19">AG20-AG19</f>
        <v>1</v>
      </c>
      <c r="AI20" s="19">
        <f t="shared" ref="AI20" si="20">$AI$2-AH20</f>
        <v>75</v>
      </c>
      <c r="AJ20" s="21">
        <v>1.2869999999999999</v>
      </c>
      <c r="AK20" s="19">
        <f t="shared" ref="AK20" si="21">((($AJ$6*$AJ$6)*3.14)/4)*(AI20/100)</f>
        <v>4.8494748749999997E-2</v>
      </c>
      <c r="AL20" s="19">
        <f t="shared" ref="AL20" si="22">AL19-W20</f>
        <v>9.0762236421725255</v>
      </c>
      <c r="AM20" s="19">
        <f t="shared" ref="AM20" si="23">S20/AK20</f>
        <v>212.93027113579998</v>
      </c>
      <c r="AN20" s="19">
        <f t="shared" ref="AN20" si="24">AL20/AK20</f>
        <v>187.15889608918792</v>
      </c>
      <c r="AO20" s="19">
        <f t="shared" ref="AO20" si="25">(AA20/(1-AA20))</f>
        <v>0.13745590960617141</v>
      </c>
      <c r="AP20" s="19">
        <f t="shared" ref="AP20" si="26">AM20/(1+AQ20)</f>
        <v>212.93027113579998</v>
      </c>
      <c r="AQ20" s="35"/>
      <c r="AT20" s="10"/>
      <c r="AU20" s="10"/>
      <c r="AV20" s="10"/>
      <c r="AW20" s="10"/>
    </row>
    <row r="21" spans="2:49" x14ac:dyDescent="0.25">
      <c r="B21" s="39"/>
      <c r="C21" s="3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42"/>
      <c r="Q21" s="10"/>
      <c r="R21" s="42"/>
      <c r="S21" s="30"/>
      <c r="T21" s="30"/>
      <c r="U21" s="30"/>
      <c r="V21" s="30"/>
      <c r="W21" s="30"/>
      <c r="X21" s="30"/>
      <c r="Y21" s="30"/>
      <c r="Z21" s="30"/>
      <c r="AA21" s="31"/>
      <c r="AG21" s="19"/>
      <c r="AH21" s="19"/>
      <c r="AI21" s="19"/>
      <c r="AJ21" s="21"/>
      <c r="AK21" s="19"/>
      <c r="AL21" s="19"/>
      <c r="AM21" s="19"/>
      <c r="AN21" s="19"/>
      <c r="AO21" s="19"/>
      <c r="AP21" s="19"/>
      <c r="AQ21" s="35"/>
      <c r="AT21" s="10"/>
      <c r="AU21" s="10"/>
      <c r="AV21" s="10"/>
    </row>
    <row r="22" spans="2:49" x14ac:dyDescent="0.25">
      <c r="B22" s="63" t="s">
        <v>303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10"/>
      <c r="R22" s="42"/>
      <c r="S22" s="63" t="s">
        <v>305</v>
      </c>
      <c r="T22" s="63"/>
      <c r="U22" s="63"/>
      <c r="V22" s="63"/>
      <c r="W22" s="63"/>
      <c r="X22" s="63"/>
      <c r="Y22" s="63"/>
      <c r="Z22" s="63"/>
      <c r="AA22" s="63"/>
      <c r="AG22" s="63" t="s">
        <v>305</v>
      </c>
      <c r="AH22" s="63"/>
      <c r="AI22" s="63"/>
      <c r="AJ22" s="63"/>
      <c r="AK22" s="63"/>
      <c r="AL22" s="63"/>
      <c r="AM22" s="63"/>
      <c r="AN22" s="63"/>
      <c r="AO22" s="63"/>
      <c r="AP22" s="63"/>
      <c r="AQ22" s="35"/>
      <c r="AT22" s="10"/>
      <c r="AU22" s="10"/>
      <c r="AV22" s="10"/>
    </row>
    <row r="23" spans="2:49" x14ac:dyDescent="0.25">
      <c r="Q23" s="10"/>
      <c r="R23" s="42"/>
      <c r="AQ23" s="35"/>
      <c r="AT23" s="10"/>
      <c r="AU23" s="10"/>
      <c r="AV23" s="10"/>
    </row>
    <row r="24" spans="2:49" x14ac:dyDescent="0.25">
      <c r="B24" s="39"/>
      <c r="C24" s="3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42"/>
      <c r="Q24" s="10"/>
      <c r="R24" s="42"/>
      <c r="S24" t="s">
        <v>313</v>
      </c>
      <c r="X24" s="8">
        <v>8.56</v>
      </c>
      <c r="Y24" s="30"/>
      <c r="Z24" s="30"/>
      <c r="AA24" s="31"/>
      <c r="AG24" s="19"/>
      <c r="AH24" s="19"/>
      <c r="AI24" s="19"/>
      <c r="AJ24" s="21"/>
      <c r="AK24" s="19"/>
      <c r="AL24" s="19"/>
      <c r="AM24" s="19"/>
      <c r="AN24" s="19"/>
      <c r="AO24" s="19"/>
      <c r="AP24" s="19"/>
      <c r="AQ24" s="35"/>
      <c r="AT24" s="10"/>
      <c r="AU24" s="10"/>
      <c r="AV24" s="10"/>
    </row>
    <row r="25" spans="2:49" x14ac:dyDescent="0.25">
      <c r="B25" s="39"/>
      <c r="C25" s="3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42"/>
      <c r="Q25" s="10"/>
      <c r="R25" s="42"/>
      <c r="S25" t="s">
        <v>312</v>
      </c>
      <c r="X25" s="8">
        <v>1.0580000000000001</v>
      </c>
      <c r="Y25" s="30"/>
      <c r="Z25" s="30"/>
      <c r="AA25" s="31"/>
      <c r="AG25" s="19"/>
      <c r="AH25" s="19"/>
      <c r="AI25" s="19"/>
      <c r="AJ25" s="21"/>
      <c r="AK25" s="19"/>
      <c r="AL25" s="19"/>
      <c r="AM25" s="19"/>
      <c r="AN25" s="19"/>
      <c r="AO25" s="19"/>
      <c r="AP25" s="19"/>
      <c r="AQ25" s="35"/>
      <c r="AT25" s="10"/>
      <c r="AU25" s="10"/>
      <c r="AV25" s="10"/>
    </row>
    <row r="26" spans="2:49" x14ac:dyDescent="0.25">
      <c r="B26" s="39"/>
      <c r="C26" s="3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2"/>
      <c r="Q26" s="10"/>
      <c r="R26" s="42"/>
      <c r="S26" t="s">
        <v>311</v>
      </c>
      <c r="X26" s="8">
        <f>S6-S20</f>
        <v>8.7000000000000028</v>
      </c>
      <c r="Y26" s="30"/>
      <c r="Z26" s="30"/>
      <c r="AA26" s="31"/>
      <c r="AG26" s="19"/>
      <c r="AH26" s="19"/>
      <c r="AI26" s="19"/>
      <c r="AJ26" s="21"/>
      <c r="AK26" s="19"/>
      <c r="AL26" s="19"/>
      <c r="AM26" s="19"/>
      <c r="AN26" s="19"/>
      <c r="AO26" s="19"/>
      <c r="AP26" s="19"/>
      <c r="AQ26" s="35"/>
      <c r="AT26" s="10"/>
      <c r="AU26" s="10"/>
      <c r="AV26" s="10"/>
    </row>
    <row r="27" spans="2:49" x14ac:dyDescent="0.25">
      <c r="B27" s="39"/>
      <c r="C27" s="3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42"/>
      <c r="S27" t="s">
        <v>314</v>
      </c>
      <c r="X27" s="8">
        <f>X24-X25</f>
        <v>7.5020000000000007</v>
      </c>
      <c r="Y27" s="30"/>
      <c r="Z27" s="30"/>
      <c r="AA27" s="31"/>
      <c r="AG27" s="19"/>
      <c r="AH27" s="19"/>
      <c r="AI27" s="19"/>
      <c r="AJ27" s="21"/>
      <c r="AK27" s="19"/>
      <c r="AL27" s="19"/>
      <c r="AM27" s="19"/>
      <c r="AN27" s="19"/>
      <c r="AO27" s="19"/>
      <c r="AP27" s="19"/>
      <c r="AQ27" s="35"/>
      <c r="AT27" s="10"/>
      <c r="AU27" s="10"/>
      <c r="AV27" s="10"/>
    </row>
    <row r="28" spans="2:49" x14ac:dyDescent="0.25">
      <c r="S28" t="s">
        <v>315</v>
      </c>
      <c r="X28" s="8">
        <f>X26-X27</f>
        <v>1.1980000000000022</v>
      </c>
      <c r="AQ28" s="35"/>
    </row>
    <row r="29" spans="2:49" x14ac:dyDescent="0.25">
      <c r="AQ29" s="35"/>
    </row>
    <row r="30" spans="2:49" x14ac:dyDescent="0.25">
      <c r="S30" t="s">
        <v>316</v>
      </c>
      <c r="X30" s="29">
        <f>X27/X28</f>
        <v>6.2621035058430614</v>
      </c>
      <c r="AQ30" s="35"/>
    </row>
    <row r="31" spans="2:49" x14ac:dyDescent="0.25">
      <c r="AQ31" s="35"/>
    </row>
    <row r="32" spans="2:49" x14ac:dyDescent="0.25">
      <c r="AQ32" s="35"/>
    </row>
    <row r="33" spans="1:43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4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8"/>
    </row>
    <row r="35" spans="1:43" x14ac:dyDescent="0.25">
      <c r="Y35" s="18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10" spans="46:46" x14ac:dyDescent="0.25">
      <c r="AT410" s="7"/>
    </row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54" spans="46:46" x14ac:dyDescent="0.25">
      <c r="AT554" s="7"/>
    </row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84" spans="46:46" x14ac:dyDescent="0.25">
      <c r="AT684" s="7"/>
    </row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</sheetData>
  <mergeCells count="3">
    <mergeCell ref="B22:P22"/>
    <mergeCell ref="S22:AA22"/>
    <mergeCell ref="AG22:AP2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E68D3-943A-4924-AEA5-AE3E7A212533}">
  <dimension ref="A1:AW1331"/>
  <sheetViews>
    <sheetView zoomScale="55" zoomScaleNormal="55" workbookViewId="0">
      <selection activeCell="M30" sqref="M30"/>
    </sheetView>
  </sheetViews>
  <sheetFormatPr defaultRowHeight="15" x14ac:dyDescent="0.25"/>
  <cols>
    <col min="1" max="1" width="7.85546875" customWidth="1"/>
    <col min="2" max="2" width="19" customWidth="1"/>
    <col min="3" max="3" width="14.7109375" customWidth="1"/>
    <col min="4" max="4" width="12.140625" customWidth="1"/>
    <col min="5" max="5" width="12.28515625" customWidth="1"/>
    <col min="6" max="6" width="16.5703125" customWidth="1"/>
    <col min="7" max="7" width="16.28515625" customWidth="1"/>
    <col min="14" max="14" width="13.28515625" customWidth="1"/>
    <col min="15" max="15" width="16.28515625" customWidth="1"/>
    <col min="16" max="16" width="13.42578125" customWidth="1"/>
    <col min="17" max="17" width="15.85546875" customWidth="1"/>
    <col min="18" max="18" width="13.85546875" customWidth="1"/>
    <col min="19" max="19" width="12.28515625" customWidth="1"/>
    <col min="20" max="20" width="11.7109375" customWidth="1"/>
    <col min="21" max="21" width="19.28515625" customWidth="1"/>
    <col min="22" max="22" width="16.7109375" customWidth="1"/>
    <col min="23" max="23" width="18.28515625" customWidth="1"/>
    <col min="24" max="24" width="18.42578125" customWidth="1"/>
    <col min="25" max="25" width="11.140625" customWidth="1"/>
    <col min="27" max="27" width="10" customWidth="1"/>
    <col min="32" max="32" width="12.42578125" customWidth="1"/>
    <col min="34" max="34" width="12.7109375" customWidth="1"/>
    <col min="35" max="35" width="15.28515625" customWidth="1"/>
    <col min="36" max="36" width="18.140625" customWidth="1"/>
    <col min="37" max="37" width="19.140625" customWidth="1"/>
    <col min="38" max="38" width="10.28515625" customWidth="1"/>
    <col min="39" max="39" width="11" customWidth="1"/>
    <col min="40" max="40" width="10.7109375" customWidth="1"/>
    <col min="42" max="42" width="12.7109375" customWidth="1"/>
  </cols>
  <sheetData>
    <row r="1" spans="2:49" x14ac:dyDescent="0.25">
      <c r="H1" s="1"/>
      <c r="I1" s="1"/>
      <c r="J1" s="1"/>
      <c r="K1" s="1"/>
      <c r="L1" s="1"/>
      <c r="M1" s="1"/>
      <c r="N1" s="1"/>
      <c r="O1" s="1"/>
      <c r="P1" s="1"/>
      <c r="AQ1" s="35"/>
    </row>
    <row r="2" spans="2:49" x14ac:dyDescent="0.25">
      <c r="H2" s="1"/>
      <c r="I2" s="1"/>
      <c r="J2" s="1"/>
      <c r="K2" s="1"/>
      <c r="L2" s="1"/>
      <c r="M2" s="1"/>
      <c r="N2" s="1"/>
      <c r="O2" s="1"/>
      <c r="P2" s="1"/>
      <c r="AI2">
        <v>76</v>
      </c>
      <c r="AQ2" s="35"/>
    </row>
    <row r="3" spans="2:49" x14ac:dyDescent="0.25">
      <c r="L3" s="9"/>
      <c r="M3" s="10"/>
      <c r="AQ3" s="35"/>
    </row>
    <row r="4" spans="2:49" ht="57" customHeight="1" x14ac:dyDescent="0.25">
      <c r="B4" s="3" t="s">
        <v>297</v>
      </c>
      <c r="C4" s="3" t="s">
        <v>285</v>
      </c>
      <c r="D4" s="3" t="s">
        <v>286</v>
      </c>
      <c r="E4" s="3" t="s">
        <v>286</v>
      </c>
      <c r="F4" s="3" t="s">
        <v>286</v>
      </c>
      <c r="G4" s="16" t="s">
        <v>287</v>
      </c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3" t="s">
        <v>5</v>
      </c>
      <c r="N4" s="16" t="s">
        <v>299</v>
      </c>
      <c r="O4" s="16" t="s">
        <v>295</v>
      </c>
      <c r="P4" s="3" t="s">
        <v>288</v>
      </c>
      <c r="Q4" s="39"/>
      <c r="R4" s="39"/>
      <c r="S4" s="17" t="s">
        <v>301</v>
      </c>
      <c r="T4" s="17" t="s">
        <v>300</v>
      </c>
      <c r="U4" s="17" t="s">
        <v>319</v>
      </c>
      <c r="V4" s="17" t="s">
        <v>359</v>
      </c>
      <c r="W4" s="17" t="s">
        <v>360</v>
      </c>
      <c r="X4" s="17" t="s">
        <v>361</v>
      </c>
      <c r="Y4" s="17" t="s">
        <v>322</v>
      </c>
      <c r="Z4" s="17" t="s">
        <v>323</v>
      </c>
      <c r="AA4" s="17" t="s">
        <v>307</v>
      </c>
      <c r="AD4" s="17" t="s">
        <v>325</v>
      </c>
      <c r="AE4" s="28" t="s">
        <v>317</v>
      </c>
      <c r="AF4" s="17" t="s">
        <v>304</v>
      </c>
      <c r="AG4" s="17" t="s">
        <v>327</v>
      </c>
      <c r="AH4" s="17" t="s">
        <v>306</v>
      </c>
      <c r="AI4" s="17" t="s">
        <v>331</v>
      </c>
      <c r="AJ4" s="17" t="s">
        <v>332</v>
      </c>
      <c r="AK4" s="17" t="s">
        <v>333</v>
      </c>
      <c r="AL4" s="17" t="s">
        <v>334</v>
      </c>
      <c r="AM4" s="17" t="s">
        <v>335</v>
      </c>
      <c r="AN4" s="17" t="s">
        <v>336</v>
      </c>
      <c r="AO4" s="17" t="s">
        <v>308</v>
      </c>
      <c r="AP4" s="17" t="s">
        <v>337</v>
      </c>
      <c r="AQ4" s="35"/>
    </row>
    <row r="5" spans="2:49" ht="30" x14ac:dyDescent="0.25">
      <c r="B5" s="3"/>
      <c r="C5" s="3" t="s">
        <v>296</v>
      </c>
      <c r="D5" s="16" t="s">
        <v>289</v>
      </c>
      <c r="E5" s="16" t="s">
        <v>290</v>
      </c>
      <c r="F5" s="16" t="s">
        <v>291</v>
      </c>
      <c r="G5" s="16" t="s">
        <v>298</v>
      </c>
      <c r="H5" s="32" t="s">
        <v>6</v>
      </c>
      <c r="I5" s="32" t="s">
        <v>7</v>
      </c>
      <c r="J5" s="32" t="s">
        <v>7</v>
      </c>
      <c r="K5" s="32" t="s">
        <v>6</v>
      </c>
      <c r="L5" s="32" t="s">
        <v>6</v>
      </c>
      <c r="M5" s="32" t="s">
        <v>7</v>
      </c>
      <c r="N5" s="32" t="s">
        <v>292</v>
      </c>
      <c r="O5" s="32" t="s">
        <v>293</v>
      </c>
      <c r="P5" s="32" t="s">
        <v>294</v>
      </c>
      <c r="Q5" s="39"/>
      <c r="R5" s="39"/>
      <c r="S5" s="17" t="s">
        <v>292</v>
      </c>
      <c r="T5" s="17" t="s">
        <v>302</v>
      </c>
      <c r="U5" s="17" t="s">
        <v>292</v>
      </c>
      <c r="V5" s="17" t="s">
        <v>292</v>
      </c>
      <c r="W5" s="17" t="s">
        <v>292</v>
      </c>
      <c r="X5" s="17" t="s">
        <v>292</v>
      </c>
      <c r="Y5" s="17" t="s">
        <v>292</v>
      </c>
      <c r="Z5" s="17" t="s">
        <v>292</v>
      </c>
      <c r="AA5" s="17" t="s">
        <v>324</v>
      </c>
      <c r="AB5" s="17"/>
      <c r="AC5" s="17"/>
      <c r="AD5" s="17" t="s">
        <v>326</v>
      </c>
      <c r="AE5" s="17"/>
      <c r="AF5" s="17" t="s">
        <v>326</v>
      </c>
      <c r="AG5" s="28" t="s">
        <v>328</v>
      </c>
      <c r="AH5" s="30" t="s">
        <v>328</v>
      </c>
      <c r="AI5" s="30" t="s">
        <v>328</v>
      </c>
      <c r="AJ5" s="30" t="s">
        <v>329</v>
      </c>
      <c r="AK5" s="30" t="s">
        <v>330</v>
      </c>
      <c r="AL5" s="17" t="s">
        <v>292</v>
      </c>
      <c r="AM5" s="17" t="s">
        <v>326</v>
      </c>
      <c r="AN5" s="17" t="s">
        <v>326</v>
      </c>
      <c r="AO5" s="17" t="s">
        <v>324</v>
      </c>
      <c r="AP5" s="17" t="s">
        <v>326</v>
      </c>
      <c r="AQ5" s="35"/>
    </row>
    <row r="6" spans="2:49" x14ac:dyDescent="0.25">
      <c r="B6" s="12" t="s">
        <v>139</v>
      </c>
      <c r="C6" s="13">
        <v>20.9</v>
      </c>
      <c r="D6" s="14">
        <v>5</v>
      </c>
      <c r="E6" s="14">
        <v>5</v>
      </c>
      <c r="F6" s="14">
        <v>5</v>
      </c>
      <c r="G6" s="14">
        <v>20</v>
      </c>
      <c r="H6" s="14">
        <v>1</v>
      </c>
      <c r="I6" s="14">
        <v>0</v>
      </c>
      <c r="J6" s="14">
        <v>0</v>
      </c>
      <c r="K6" s="14">
        <v>20</v>
      </c>
      <c r="L6" s="14">
        <v>0</v>
      </c>
      <c r="M6" s="14">
        <v>0</v>
      </c>
      <c r="N6" s="14">
        <v>36.5</v>
      </c>
      <c r="O6" s="14">
        <v>0</v>
      </c>
      <c r="P6" s="51">
        <v>0.45833333333333331</v>
      </c>
      <c r="Q6" s="10"/>
      <c r="R6" s="41"/>
      <c r="S6" s="30">
        <f>N6-25.614</f>
        <v>10.885999999999999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4.9000000000000004</v>
      </c>
      <c r="Z6" s="30">
        <f>S6-V6</f>
        <v>10.885999999999999</v>
      </c>
      <c r="AA6" s="31">
        <f>Y6/Z6</f>
        <v>0.45011941943781009</v>
      </c>
      <c r="AC6" s="18"/>
      <c r="AD6" s="18">
        <v>1000</v>
      </c>
      <c r="AE6" s="22" t="s">
        <v>309</v>
      </c>
      <c r="AF6" s="23">
        <v>1530</v>
      </c>
      <c r="AG6" s="19">
        <v>0</v>
      </c>
      <c r="AH6" s="19">
        <v>0</v>
      </c>
      <c r="AI6" s="19">
        <f t="shared" ref="AI6:AI20" si="0">$AI$2-AH6</f>
        <v>76</v>
      </c>
      <c r="AJ6" s="21">
        <v>0.28699999999999998</v>
      </c>
      <c r="AK6" s="19">
        <f>((($AJ$6*$AJ$6)*3.14)/4)*(AI6/100)</f>
        <v>4.9141345399999994E-2</v>
      </c>
      <c r="AL6" s="19">
        <v>5.9859999999999998</v>
      </c>
      <c r="AM6" s="19">
        <f>S6/AK6</f>
        <v>221.52425643600716</v>
      </c>
      <c r="AN6" s="19">
        <f t="shared" ref="AN6:AN20" si="1">AL6/AK6</f>
        <v>121.81188673763907</v>
      </c>
      <c r="AO6" s="19">
        <f>(AA6/(1-AA6))</f>
        <v>0.81857667891747432</v>
      </c>
      <c r="AP6" s="19">
        <f t="shared" ref="AP6:AP20" si="2">AM6/(1+AQ6)</f>
        <v>221.52425643600716</v>
      </c>
      <c r="AQ6" s="35"/>
      <c r="AS6" s="48"/>
      <c r="AT6" s="48"/>
      <c r="AU6" s="48"/>
      <c r="AV6" s="48"/>
      <c r="AW6" s="10"/>
    </row>
    <row r="7" spans="2:49" x14ac:dyDescent="0.25">
      <c r="B7" s="12" t="s">
        <v>140</v>
      </c>
      <c r="C7" s="13">
        <v>41.1</v>
      </c>
      <c r="D7" s="14">
        <v>6</v>
      </c>
      <c r="E7" s="14">
        <v>6</v>
      </c>
      <c r="F7" s="14">
        <v>6</v>
      </c>
      <c r="G7" s="14">
        <v>20</v>
      </c>
      <c r="H7" s="14">
        <v>5.8</v>
      </c>
      <c r="I7" s="14">
        <v>0</v>
      </c>
      <c r="J7" s="14">
        <v>1</v>
      </c>
      <c r="K7" s="14">
        <v>1.6</v>
      </c>
      <c r="L7" s="14">
        <v>0</v>
      </c>
      <c r="M7" s="14">
        <v>0</v>
      </c>
      <c r="N7" s="14">
        <v>36.1</v>
      </c>
      <c r="O7" s="14">
        <v>400</v>
      </c>
      <c r="P7" s="51">
        <v>0.31805555555555554</v>
      </c>
      <c r="Q7" s="10"/>
      <c r="R7" s="41"/>
      <c r="S7" s="30">
        <f t="shared" ref="S7:S21" si="3">N7-25.614</f>
        <v>10.486000000000001</v>
      </c>
      <c r="T7" s="30">
        <v>1</v>
      </c>
      <c r="U7" s="30">
        <f t="shared" ref="U7:U21" si="4">S6-S7</f>
        <v>0.39999999999999858</v>
      </c>
      <c r="V7" s="30">
        <f>U7-(U7/7.43)</f>
        <v>0.34616419919246177</v>
      </c>
      <c r="W7" s="30">
        <f t="shared" ref="W7:W20" si="5">U7-V7</f>
        <v>5.3835800807536804E-2</v>
      </c>
      <c r="X7" s="30">
        <f>V7+V6</f>
        <v>0.34616419919246177</v>
      </c>
      <c r="Y7" s="30">
        <f>4.9-X7</f>
        <v>4.5538358008075388</v>
      </c>
      <c r="Z7" s="30">
        <f t="shared" ref="Z7:Z20" si="6">S6-V7</f>
        <v>10.539835800807538</v>
      </c>
      <c r="AA7" s="31">
        <f t="shared" ref="AA7:AA20" si="7">Y7/Z7</f>
        <v>0.43205946343667273</v>
      </c>
      <c r="AC7" s="18"/>
      <c r="AD7" s="18"/>
      <c r="AE7" s="24"/>
      <c r="AF7" s="25"/>
      <c r="AG7" s="19">
        <v>1</v>
      </c>
      <c r="AH7" s="19">
        <f t="shared" ref="AH7:AH20" si="8">AG7-AG6</f>
        <v>1</v>
      </c>
      <c r="AI7" s="19">
        <f t="shared" si="0"/>
        <v>75</v>
      </c>
      <c r="AJ7" s="21">
        <v>0.28699999999999998</v>
      </c>
      <c r="AK7" s="19">
        <f t="shared" ref="AK7:AK20" si="9">((($AJ$6*$AJ$6)*3.14)/4)*(AI7/100)</f>
        <v>4.8494748749999997E-2</v>
      </c>
      <c r="AL7" s="19">
        <f t="shared" ref="AL7:AL20" si="10">AL6-W7</f>
        <v>5.9321641991924627</v>
      </c>
      <c r="AM7" s="19">
        <f t="shared" ref="AM7:AM20" si="11">S7/AK7</f>
        <v>216.22959743656784</v>
      </c>
      <c r="AN7" s="19">
        <f t="shared" si="1"/>
        <v>122.32590851792924</v>
      </c>
      <c r="AO7" s="19">
        <f t="shared" ref="AO7:AO20" si="12">(AA7/(1-AA7))</f>
        <v>0.76074771146133302</v>
      </c>
      <c r="AP7" s="19">
        <f t="shared" si="2"/>
        <v>216.22959743656784</v>
      </c>
      <c r="AQ7" s="35"/>
      <c r="AS7" s="48"/>
      <c r="AT7" s="48"/>
      <c r="AU7" s="48"/>
      <c r="AV7" s="48"/>
      <c r="AW7" s="10"/>
    </row>
    <row r="8" spans="2:49" x14ac:dyDescent="0.25">
      <c r="B8" s="12" t="s">
        <v>141</v>
      </c>
      <c r="C8" s="13">
        <v>21.5</v>
      </c>
      <c r="D8" s="14">
        <v>6</v>
      </c>
      <c r="E8" s="14">
        <v>6</v>
      </c>
      <c r="F8" s="14">
        <v>6</v>
      </c>
      <c r="G8" s="14">
        <v>20</v>
      </c>
      <c r="H8" s="14">
        <v>23.1</v>
      </c>
      <c r="I8" s="14">
        <v>4</v>
      </c>
      <c r="J8" s="14">
        <v>1</v>
      </c>
      <c r="K8" s="14">
        <v>1.8</v>
      </c>
      <c r="L8" s="14">
        <v>0</v>
      </c>
      <c r="M8" s="14">
        <v>0</v>
      </c>
      <c r="N8" s="14">
        <v>34.9</v>
      </c>
      <c r="O8" s="14">
        <v>1200</v>
      </c>
      <c r="P8" s="51">
        <v>0.32291666666666669</v>
      </c>
      <c r="Q8" s="10"/>
      <c r="R8" s="41"/>
      <c r="S8" s="30">
        <f t="shared" si="3"/>
        <v>9.2859999999999978</v>
      </c>
      <c r="T8" s="30">
        <v>2</v>
      </c>
      <c r="U8" s="30">
        <f t="shared" si="4"/>
        <v>1.2000000000000028</v>
      </c>
      <c r="V8" s="30">
        <f t="shared" ref="V8:V21" si="13">U8-(U8/7.43)</f>
        <v>1.0384925975773913</v>
      </c>
      <c r="W8" s="30">
        <f t="shared" si="5"/>
        <v>0.16150740242261152</v>
      </c>
      <c r="X8" s="30">
        <f>V7+V8+V6</f>
        <v>1.3846567967698531</v>
      </c>
      <c r="Y8" s="30">
        <f t="shared" ref="Y8:Y21" si="14">4.9-X8</f>
        <v>3.515343203230147</v>
      </c>
      <c r="Z8" s="30">
        <f t="shared" si="6"/>
        <v>9.4475074024226089</v>
      </c>
      <c r="AA8" s="31">
        <f t="shared" si="7"/>
        <v>0.37209213536352598</v>
      </c>
      <c r="AC8" s="18"/>
      <c r="AD8" s="18"/>
      <c r="AE8" s="24"/>
      <c r="AF8" s="25"/>
      <c r="AG8" s="19">
        <v>1</v>
      </c>
      <c r="AH8" s="19">
        <f t="shared" si="8"/>
        <v>0</v>
      </c>
      <c r="AI8" s="19">
        <f t="shared" si="0"/>
        <v>76</v>
      </c>
      <c r="AJ8" s="21">
        <v>0.28699999999999998</v>
      </c>
      <c r="AK8" s="19">
        <f t="shared" si="9"/>
        <v>4.9141345399999994E-2</v>
      </c>
      <c r="AL8" s="19">
        <f t="shared" si="10"/>
        <v>5.7706567967698508</v>
      </c>
      <c r="AM8" s="19">
        <f t="shared" si="11"/>
        <v>188.96511531000937</v>
      </c>
      <c r="AN8" s="19">
        <f t="shared" si="1"/>
        <v>117.4297681473298</v>
      </c>
      <c r="AO8" s="19">
        <f t="shared" si="12"/>
        <v>0.59259034058913718</v>
      </c>
      <c r="AP8" s="19">
        <f t="shared" si="2"/>
        <v>188.96511531000937</v>
      </c>
      <c r="AQ8" s="35"/>
      <c r="AS8" s="48"/>
      <c r="AT8" s="48"/>
      <c r="AU8" s="48"/>
      <c r="AV8" s="48"/>
      <c r="AW8" s="10"/>
    </row>
    <row r="9" spans="2:49" x14ac:dyDescent="0.25">
      <c r="B9" s="12" t="s">
        <v>142</v>
      </c>
      <c r="C9" s="13">
        <v>18.8</v>
      </c>
      <c r="D9" s="14">
        <v>7</v>
      </c>
      <c r="E9" s="14">
        <v>7</v>
      </c>
      <c r="F9" s="14">
        <v>7</v>
      </c>
      <c r="G9" s="14">
        <v>20</v>
      </c>
      <c r="H9" s="14">
        <v>10.5</v>
      </c>
      <c r="I9" s="14">
        <v>2</v>
      </c>
      <c r="J9" s="14">
        <v>0</v>
      </c>
      <c r="K9" s="14">
        <v>1.7</v>
      </c>
      <c r="L9" s="14">
        <v>0</v>
      </c>
      <c r="M9" s="14">
        <v>0</v>
      </c>
      <c r="N9" s="14">
        <v>34.4</v>
      </c>
      <c r="O9" s="14">
        <v>500</v>
      </c>
      <c r="P9" s="51">
        <v>0.36041666666666666</v>
      </c>
      <c r="Q9" s="10"/>
      <c r="R9" s="41"/>
      <c r="S9" s="30">
        <f t="shared" si="3"/>
        <v>8.7859999999999978</v>
      </c>
      <c r="T9" s="30">
        <v>3</v>
      </c>
      <c r="U9" s="30">
        <f t="shared" si="4"/>
        <v>0.5</v>
      </c>
      <c r="V9" s="30">
        <f t="shared" si="13"/>
        <v>0.43270524899057872</v>
      </c>
      <c r="W9" s="30">
        <f t="shared" si="5"/>
        <v>6.7294751009421283E-2</v>
      </c>
      <c r="X9" s="30">
        <f>V9+V8+V7+V6</f>
        <v>1.8173620457604318</v>
      </c>
      <c r="Y9" s="30">
        <f t="shared" si="14"/>
        <v>3.0826379542395683</v>
      </c>
      <c r="Z9" s="30">
        <f t="shared" si="6"/>
        <v>8.8532947510094182</v>
      </c>
      <c r="AA9" s="31">
        <f t="shared" si="7"/>
        <v>0.34819104536060974</v>
      </c>
      <c r="AC9" s="18"/>
      <c r="AD9" s="18"/>
      <c r="AE9" s="24"/>
      <c r="AF9" s="25"/>
      <c r="AG9" s="19">
        <v>2</v>
      </c>
      <c r="AH9" s="19">
        <f t="shared" si="8"/>
        <v>1</v>
      </c>
      <c r="AI9" s="19">
        <f t="shared" si="0"/>
        <v>75</v>
      </c>
      <c r="AJ9" s="21">
        <v>0.28699999999999998</v>
      </c>
      <c r="AK9" s="19">
        <f t="shared" si="9"/>
        <v>4.8494748749999997E-2</v>
      </c>
      <c r="AL9" s="19">
        <f t="shared" si="10"/>
        <v>5.7033620457604295</v>
      </c>
      <c r="AM9" s="19">
        <f t="shared" si="11"/>
        <v>181.17425549091021</v>
      </c>
      <c r="AN9" s="19">
        <f t="shared" si="1"/>
        <v>117.60782750236292</v>
      </c>
      <c r="AO9" s="19">
        <f t="shared" si="12"/>
        <v>0.5341918715327324</v>
      </c>
      <c r="AP9" s="19">
        <f t="shared" si="2"/>
        <v>181.17425549091021</v>
      </c>
      <c r="AQ9" s="35"/>
      <c r="AS9" s="48"/>
      <c r="AT9" s="48"/>
      <c r="AU9" s="48"/>
      <c r="AV9" s="48"/>
      <c r="AW9" s="10"/>
    </row>
    <row r="10" spans="2:49" x14ac:dyDescent="0.25">
      <c r="B10" s="12" t="s">
        <v>143</v>
      </c>
      <c r="C10" s="13">
        <v>23.1</v>
      </c>
      <c r="D10" s="14">
        <v>8</v>
      </c>
      <c r="E10" s="14">
        <v>8</v>
      </c>
      <c r="F10" s="14">
        <v>8</v>
      </c>
      <c r="G10" s="14">
        <v>20</v>
      </c>
      <c r="H10" s="14">
        <v>13.4</v>
      </c>
      <c r="I10" s="14">
        <v>2</v>
      </c>
      <c r="J10" s="14">
        <v>0</v>
      </c>
      <c r="K10" s="14">
        <v>1.7</v>
      </c>
      <c r="L10" s="14">
        <v>0</v>
      </c>
      <c r="M10" s="14">
        <v>0</v>
      </c>
      <c r="N10" s="14">
        <v>33.9</v>
      </c>
      <c r="O10" s="14">
        <v>500</v>
      </c>
      <c r="P10" s="51">
        <v>0.3298611111111111</v>
      </c>
      <c r="Q10" s="10"/>
      <c r="R10" s="41"/>
      <c r="S10" s="30">
        <f t="shared" si="3"/>
        <v>8.2859999999999978</v>
      </c>
      <c r="T10" s="30">
        <v>4</v>
      </c>
      <c r="U10" s="30">
        <f t="shared" si="4"/>
        <v>0.5</v>
      </c>
      <c r="V10" s="30">
        <f t="shared" si="13"/>
        <v>0.43270524899057872</v>
      </c>
      <c r="W10" s="30">
        <f t="shared" si="5"/>
        <v>6.7294751009421283E-2</v>
      </c>
      <c r="X10" s="30">
        <f>V10+V9+V8+V7+V6</f>
        <v>2.2500672947510107</v>
      </c>
      <c r="Y10" s="30">
        <f t="shared" si="14"/>
        <v>2.6499327052489896</v>
      </c>
      <c r="Z10" s="30">
        <f t="shared" si="6"/>
        <v>8.3532947510094182</v>
      </c>
      <c r="AA10" s="31">
        <f t="shared" si="7"/>
        <v>0.31723203648820963</v>
      </c>
      <c r="AC10" s="18"/>
      <c r="AD10" s="18"/>
      <c r="AE10" s="24"/>
      <c r="AF10" s="25"/>
      <c r="AG10" s="19">
        <v>3</v>
      </c>
      <c r="AH10" s="19">
        <f t="shared" si="8"/>
        <v>1</v>
      </c>
      <c r="AI10" s="19">
        <f t="shared" si="0"/>
        <v>75</v>
      </c>
      <c r="AJ10" s="21">
        <v>0.28699999999999998</v>
      </c>
      <c r="AK10" s="19">
        <f t="shared" si="9"/>
        <v>4.8494748749999997E-2</v>
      </c>
      <c r="AL10" s="19">
        <f t="shared" si="10"/>
        <v>5.6360672947510082</v>
      </c>
      <c r="AM10" s="19">
        <f t="shared" si="11"/>
        <v>170.86386080101093</v>
      </c>
      <c r="AN10" s="19">
        <f t="shared" si="1"/>
        <v>116.22015661543166</v>
      </c>
      <c r="AO10" s="19">
        <f t="shared" si="12"/>
        <v>0.46462642279895361</v>
      </c>
      <c r="AP10" s="19">
        <f t="shared" si="2"/>
        <v>170.86386080101093</v>
      </c>
      <c r="AQ10" s="35"/>
      <c r="AS10" s="48"/>
      <c r="AT10" s="48"/>
      <c r="AU10" s="48"/>
      <c r="AV10" s="48"/>
      <c r="AW10" s="10"/>
    </row>
    <row r="11" spans="2:49" x14ac:dyDescent="0.25">
      <c r="B11" s="12" t="s">
        <v>144</v>
      </c>
      <c r="C11" s="13">
        <v>26.7</v>
      </c>
      <c r="D11" s="14">
        <v>8</v>
      </c>
      <c r="E11" s="14">
        <v>8</v>
      </c>
      <c r="F11" s="14">
        <v>8</v>
      </c>
      <c r="G11" s="14">
        <v>20</v>
      </c>
      <c r="H11" s="14">
        <v>12.1</v>
      </c>
      <c r="I11" s="14">
        <v>2</v>
      </c>
      <c r="J11" s="14">
        <v>0</v>
      </c>
      <c r="K11" s="14">
        <v>1.7</v>
      </c>
      <c r="L11" s="14">
        <v>0</v>
      </c>
      <c r="M11" s="14">
        <v>0</v>
      </c>
      <c r="N11" s="14">
        <v>33.5</v>
      </c>
      <c r="O11" s="14">
        <v>400</v>
      </c>
      <c r="P11" s="51">
        <v>0.31944444444444448</v>
      </c>
      <c r="Q11" s="10"/>
      <c r="R11" s="41"/>
      <c r="S11" s="30">
        <f t="shared" si="3"/>
        <v>7.8859999999999992</v>
      </c>
      <c r="T11" s="30">
        <v>5</v>
      </c>
      <c r="U11" s="30">
        <f t="shared" si="4"/>
        <v>0.39999999999999858</v>
      </c>
      <c r="V11" s="30">
        <f t="shared" si="13"/>
        <v>0.34616419919246177</v>
      </c>
      <c r="W11" s="30">
        <f t="shared" si="5"/>
        <v>5.3835800807536804E-2</v>
      </c>
      <c r="X11" s="30">
        <f>V11+V10+V9+V8+V7+V6</f>
        <v>2.5962314939434723</v>
      </c>
      <c r="Y11" s="30">
        <f t="shared" si="14"/>
        <v>2.3037685060565281</v>
      </c>
      <c r="Z11" s="30">
        <f t="shared" si="6"/>
        <v>7.9398358008075363</v>
      </c>
      <c r="AA11" s="31">
        <f t="shared" si="7"/>
        <v>0.29015316737686425</v>
      </c>
      <c r="AC11" s="18"/>
      <c r="AD11" s="18"/>
      <c r="AE11" s="24"/>
      <c r="AF11" s="25"/>
      <c r="AG11" s="19">
        <v>3</v>
      </c>
      <c r="AH11" s="19">
        <f t="shared" si="8"/>
        <v>0</v>
      </c>
      <c r="AI11" s="19">
        <f t="shared" si="0"/>
        <v>76</v>
      </c>
      <c r="AJ11" s="21">
        <v>0.28699999999999998</v>
      </c>
      <c r="AK11" s="19">
        <f t="shared" si="9"/>
        <v>4.9141345399999994E-2</v>
      </c>
      <c r="AL11" s="19">
        <f t="shared" si="10"/>
        <v>5.5822314939434712</v>
      </c>
      <c r="AM11" s="19">
        <f t="shared" si="11"/>
        <v>160.47586682476137</v>
      </c>
      <c r="AN11" s="19">
        <f t="shared" si="1"/>
        <v>113.5954143808092</v>
      </c>
      <c r="AO11" s="19">
        <f t="shared" si="12"/>
        <v>0.40875461302636995</v>
      </c>
      <c r="AP11" s="19">
        <f t="shared" si="2"/>
        <v>160.47586682476137</v>
      </c>
      <c r="AQ11" s="35"/>
      <c r="AS11" s="48"/>
      <c r="AT11" s="48"/>
      <c r="AU11" s="48"/>
      <c r="AV11" s="48"/>
      <c r="AW11" s="10"/>
    </row>
    <row r="12" spans="2:49" x14ac:dyDescent="0.25">
      <c r="B12" s="12" t="s">
        <v>145</v>
      </c>
      <c r="C12" s="13">
        <v>21.9</v>
      </c>
      <c r="D12" s="14">
        <v>8</v>
      </c>
      <c r="E12" s="14">
        <v>8</v>
      </c>
      <c r="F12" s="14">
        <v>8</v>
      </c>
      <c r="G12" s="14">
        <v>20</v>
      </c>
      <c r="H12" s="14">
        <v>7.6</v>
      </c>
      <c r="I12" s="14">
        <v>1</v>
      </c>
      <c r="J12" s="14">
        <v>0</v>
      </c>
      <c r="K12" s="14">
        <v>1.7</v>
      </c>
      <c r="L12" s="14">
        <v>0</v>
      </c>
      <c r="M12" s="14">
        <v>0</v>
      </c>
      <c r="N12" s="14">
        <v>33</v>
      </c>
      <c r="O12" s="14">
        <v>500</v>
      </c>
      <c r="P12" s="51">
        <v>0.3298611111111111</v>
      </c>
      <c r="Q12" s="10"/>
      <c r="R12" s="41"/>
      <c r="S12" s="30">
        <f t="shared" si="3"/>
        <v>7.3859999999999992</v>
      </c>
      <c r="T12" s="30">
        <v>6</v>
      </c>
      <c r="U12" s="30">
        <f t="shared" si="4"/>
        <v>0.5</v>
      </c>
      <c r="V12" s="30">
        <f t="shared" si="13"/>
        <v>0.43270524899057872</v>
      </c>
      <c r="W12" s="30">
        <f t="shared" si="5"/>
        <v>6.7294751009421283E-2</v>
      </c>
      <c r="X12" s="30">
        <f>V12+V11+V10+V9+V8+V7+V6</f>
        <v>3.028936742934051</v>
      </c>
      <c r="Y12" s="30">
        <f t="shared" si="14"/>
        <v>1.8710632570659493</v>
      </c>
      <c r="Z12" s="30">
        <f t="shared" si="6"/>
        <v>7.4532947510094205</v>
      </c>
      <c r="AA12" s="31">
        <f t="shared" si="7"/>
        <v>0.25103840912940495</v>
      </c>
      <c r="AC12" s="18"/>
      <c r="AD12" s="18"/>
      <c r="AE12" s="24"/>
      <c r="AF12" s="25"/>
      <c r="AG12" s="19">
        <v>3</v>
      </c>
      <c r="AH12" s="19">
        <f t="shared" si="8"/>
        <v>0</v>
      </c>
      <c r="AI12" s="19">
        <f t="shared" si="0"/>
        <v>76</v>
      </c>
      <c r="AJ12" s="21">
        <v>0.28699999999999998</v>
      </c>
      <c r="AK12" s="19">
        <f t="shared" si="9"/>
        <v>4.9141345399999994E-2</v>
      </c>
      <c r="AL12" s="19">
        <f t="shared" si="10"/>
        <v>5.5149367429340499</v>
      </c>
      <c r="AM12" s="19">
        <f t="shared" si="11"/>
        <v>150.30113522288707</v>
      </c>
      <c r="AN12" s="19">
        <f t="shared" si="1"/>
        <v>112.22600232133756</v>
      </c>
      <c r="AO12" s="19">
        <f t="shared" si="12"/>
        <v>0.33518195350658392</v>
      </c>
      <c r="AP12" s="19">
        <f t="shared" si="2"/>
        <v>150.30113522288707</v>
      </c>
      <c r="AQ12" s="35"/>
      <c r="AS12" s="48"/>
      <c r="AT12" s="48"/>
      <c r="AU12" s="48"/>
      <c r="AV12" s="48"/>
      <c r="AW12" s="10"/>
    </row>
    <row r="13" spans="2:49" x14ac:dyDescent="0.25">
      <c r="B13" s="12" t="s">
        <v>146</v>
      </c>
      <c r="C13" s="13">
        <v>20.5</v>
      </c>
      <c r="D13" s="14">
        <v>9</v>
      </c>
      <c r="E13" s="14">
        <v>9</v>
      </c>
      <c r="F13" s="14">
        <v>9</v>
      </c>
      <c r="G13" s="14">
        <v>20</v>
      </c>
      <c r="H13" s="14">
        <v>7.6</v>
      </c>
      <c r="I13" s="14">
        <v>3</v>
      </c>
      <c r="J13" s="14">
        <v>1</v>
      </c>
      <c r="K13" s="14">
        <v>1.7</v>
      </c>
      <c r="L13" s="14">
        <v>0</v>
      </c>
      <c r="M13" s="14">
        <v>0</v>
      </c>
      <c r="N13" s="14">
        <v>32.700000000000003</v>
      </c>
      <c r="O13" s="14">
        <v>300</v>
      </c>
      <c r="P13" s="51">
        <v>0.3263888888888889</v>
      </c>
      <c r="Q13" s="10"/>
      <c r="R13" s="41"/>
      <c r="S13" s="30">
        <f t="shared" si="3"/>
        <v>7.0860000000000021</v>
      </c>
      <c r="T13" s="30">
        <v>7</v>
      </c>
      <c r="U13" s="30">
        <f t="shared" si="4"/>
        <v>0.29999999999999716</v>
      </c>
      <c r="V13" s="30">
        <f t="shared" si="13"/>
        <v>0.25962314939434478</v>
      </c>
      <c r="W13" s="30">
        <f t="shared" si="5"/>
        <v>4.0376850605652381E-2</v>
      </c>
      <c r="X13" s="30">
        <f>V13+V12+V11+V10+V9+V8+V7+V6</f>
        <v>3.2885598923283954</v>
      </c>
      <c r="Y13" s="30">
        <f t="shared" si="14"/>
        <v>1.6114401076716049</v>
      </c>
      <c r="Z13" s="30">
        <f t="shared" si="6"/>
        <v>7.1263768506056548</v>
      </c>
      <c r="AA13" s="31">
        <f t="shared" si="7"/>
        <v>0.22612333608692786</v>
      </c>
      <c r="AC13" s="18"/>
      <c r="AD13" s="18"/>
      <c r="AE13" s="24"/>
      <c r="AF13" s="25"/>
      <c r="AG13" s="19">
        <v>4</v>
      </c>
      <c r="AH13" s="19">
        <f t="shared" si="8"/>
        <v>1</v>
      </c>
      <c r="AI13" s="19">
        <f t="shared" si="0"/>
        <v>75</v>
      </c>
      <c r="AJ13" s="21">
        <v>0.28699999999999998</v>
      </c>
      <c r="AK13" s="19">
        <f t="shared" si="9"/>
        <v>4.8494748749999997E-2</v>
      </c>
      <c r="AL13" s="19">
        <f t="shared" si="10"/>
        <v>5.4745598923283971</v>
      </c>
      <c r="AM13" s="19">
        <f t="shared" si="11"/>
        <v>146.11891354525272</v>
      </c>
      <c r="AN13" s="19">
        <f t="shared" si="1"/>
        <v>112.88974648679662</v>
      </c>
      <c r="AO13" s="19">
        <f t="shared" si="12"/>
        <v>0.29219557408999197</v>
      </c>
      <c r="AP13" s="19">
        <f t="shared" si="2"/>
        <v>146.11891354525272</v>
      </c>
      <c r="AQ13" s="35"/>
      <c r="AS13" s="48"/>
      <c r="AT13" s="48"/>
      <c r="AU13" s="48"/>
      <c r="AV13" s="48"/>
      <c r="AW13" s="10"/>
    </row>
    <row r="14" spans="2:49" x14ac:dyDescent="0.25">
      <c r="B14" s="12" t="s">
        <v>147</v>
      </c>
      <c r="C14" s="13">
        <v>19.399999999999999</v>
      </c>
      <c r="D14" s="14">
        <v>9</v>
      </c>
      <c r="E14" s="14">
        <v>9</v>
      </c>
      <c r="F14" s="14">
        <v>9</v>
      </c>
      <c r="G14" s="14">
        <v>20</v>
      </c>
      <c r="H14" s="14">
        <v>6.3</v>
      </c>
      <c r="I14" s="14">
        <v>2</v>
      </c>
      <c r="J14" s="14">
        <v>0</v>
      </c>
      <c r="K14" s="14">
        <v>1.7</v>
      </c>
      <c r="L14" s="14">
        <v>0</v>
      </c>
      <c r="M14" s="14">
        <v>0</v>
      </c>
      <c r="N14" s="14">
        <v>32.5</v>
      </c>
      <c r="O14" s="14">
        <v>200</v>
      </c>
      <c r="P14" s="51">
        <v>0.31736111111111115</v>
      </c>
      <c r="Q14" s="10"/>
      <c r="R14" s="41"/>
      <c r="S14" s="30">
        <f t="shared" si="3"/>
        <v>6.8859999999999992</v>
      </c>
      <c r="T14" s="30">
        <v>8</v>
      </c>
      <c r="U14" s="30">
        <f t="shared" si="4"/>
        <v>0.20000000000000284</v>
      </c>
      <c r="V14" s="30">
        <f t="shared" si="13"/>
        <v>0.17308209959623394</v>
      </c>
      <c r="W14" s="30">
        <f t="shared" si="5"/>
        <v>2.6917900403768902E-2</v>
      </c>
      <c r="X14" s="30">
        <f>V14+V13+V12+V11+V10+V9+V8+V7+V6</f>
        <v>3.4616419919246297</v>
      </c>
      <c r="Y14" s="30">
        <f t="shared" si="14"/>
        <v>1.4383580080753706</v>
      </c>
      <c r="Z14" s="30">
        <f t="shared" si="6"/>
        <v>6.9129179004037677</v>
      </c>
      <c r="AA14" s="31">
        <f t="shared" si="7"/>
        <v>0.20806814557878076</v>
      </c>
      <c r="AC14" s="18"/>
      <c r="AD14" s="18"/>
      <c r="AE14" s="24"/>
      <c r="AF14" s="25"/>
      <c r="AG14" s="19">
        <v>4</v>
      </c>
      <c r="AH14" s="19">
        <f t="shared" si="8"/>
        <v>0</v>
      </c>
      <c r="AI14" s="19">
        <f t="shared" si="0"/>
        <v>76</v>
      </c>
      <c r="AJ14" s="21">
        <v>0.28699999999999998</v>
      </c>
      <c r="AK14" s="19">
        <f t="shared" si="9"/>
        <v>4.9141345399999994E-2</v>
      </c>
      <c r="AL14" s="19">
        <f t="shared" si="10"/>
        <v>5.4476419919246286</v>
      </c>
      <c r="AM14" s="19">
        <f t="shared" si="11"/>
        <v>140.1264036210128</v>
      </c>
      <c r="AN14" s="19">
        <f t="shared" si="1"/>
        <v>110.85659026186592</v>
      </c>
      <c r="AO14" s="19">
        <f t="shared" si="12"/>
        <v>0.26273491136538085</v>
      </c>
      <c r="AP14" s="19">
        <f t="shared" si="2"/>
        <v>140.1264036210128</v>
      </c>
      <c r="AQ14" s="35"/>
      <c r="AS14" s="48"/>
      <c r="AT14" s="48"/>
      <c r="AU14" s="48"/>
      <c r="AV14" s="48"/>
      <c r="AW14" s="10"/>
    </row>
    <row r="15" spans="2:49" x14ac:dyDescent="0.25">
      <c r="B15" s="12" t="s">
        <v>148</v>
      </c>
      <c r="C15" s="13">
        <v>18.7</v>
      </c>
      <c r="D15" s="14">
        <v>9</v>
      </c>
      <c r="E15" s="14">
        <v>9</v>
      </c>
      <c r="F15" s="14">
        <v>9</v>
      </c>
      <c r="G15" s="14">
        <v>20</v>
      </c>
      <c r="H15" s="14">
        <v>5.8</v>
      </c>
      <c r="I15" s="14">
        <v>2</v>
      </c>
      <c r="J15" s="14">
        <v>0</v>
      </c>
      <c r="K15" s="14">
        <v>1.7</v>
      </c>
      <c r="L15" s="14">
        <v>0</v>
      </c>
      <c r="M15" s="14">
        <v>0</v>
      </c>
      <c r="N15" s="14">
        <v>32.299999999999997</v>
      </c>
      <c r="O15" s="14">
        <v>200</v>
      </c>
      <c r="P15" s="51">
        <v>0.31319444444444444</v>
      </c>
      <c r="Q15" s="10"/>
      <c r="R15" s="41"/>
      <c r="S15" s="30">
        <f t="shared" si="3"/>
        <v>6.6859999999999964</v>
      </c>
      <c r="T15" s="30">
        <v>9</v>
      </c>
      <c r="U15" s="30">
        <f t="shared" si="4"/>
        <v>0.20000000000000284</v>
      </c>
      <c r="V15" s="30">
        <f t="shared" si="13"/>
        <v>0.17308209959623394</v>
      </c>
      <c r="W15" s="30">
        <f t="shared" si="5"/>
        <v>2.6917900403768902E-2</v>
      </c>
      <c r="X15" s="30">
        <f>V15+V14+V13+V12+V11+V10+V9+V8+V7+V6</f>
        <v>3.6347240915208641</v>
      </c>
      <c r="Y15" s="30">
        <f t="shared" si="14"/>
        <v>1.2652759084791363</v>
      </c>
      <c r="Z15" s="30">
        <f t="shared" si="6"/>
        <v>6.7129179004037649</v>
      </c>
      <c r="AA15" s="31">
        <f t="shared" si="7"/>
        <v>0.18848374540719962</v>
      </c>
      <c r="AC15" s="18"/>
      <c r="AD15" s="18"/>
      <c r="AE15" s="24"/>
      <c r="AF15" s="25"/>
      <c r="AG15" s="19">
        <v>4</v>
      </c>
      <c r="AH15" s="19">
        <f t="shared" si="8"/>
        <v>0</v>
      </c>
      <c r="AI15" s="19">
        <f t="shared" si="0"/>
        <v>76</v>
      </c>
      <c r="AJ15" s="21">
        <v>0.28699999999999998</v>
      </c>
      <c r="AK15" s="19">
        <f t="shared" si="9"/>
        <v>4.9141345399999994E-2</v>
      </c>
      <c r="AL15" s="19">
        <f t="shared" si="10"/>
        <v>5.4207240915208601</v>
      </c>
      <c r="AM15" s="19">
        <f t="shared" si="11"/>
        <v>136.056510980263</v>
      </c>
      <c r="AN15" s="19">
        <f t="shared" si="1"/>
        <v>110.30882543807725</v>
      </c>
      <c r="AO15" s="19">
        <f t="shared" si="12"/>
        <v>0.23226120775827994</v>
      </c>
      <c r="AP15" s="19">
        <f t="shared" si="2"/>
        <v>136.056510980263</v>
      </c>
      <c r="AQ15" s="35"/>
      <c r="AS15" s="48"/>
      <c r="AT15" s="48"/>
      <c r="AU15" s="48"/>
      <c r="AV15" s="48"/>
      <c r="AW15" s="10"/>
    </row>
    <row r="16" spans="2:49" x14ac:dyDescent="0.25">
      <c r="B16" s="12" t="s">
        <v>149</v>
      </c>
      <c r="C16" s="13">
        <v>20.3</v>
      </c>
      <c r="D16" s="14">
        <v>9</v>
      </c>
      <c r="E16" s="14">
        <v>9</v>
      </c>
      <c r="F16" s="14">
        <v>9</v>
      </c>
      <c r="G16" s="14">
        <v>20</v>
      </c>
      <c r="H16" s="14">
        <v>6</v>
      </c>
      <c r="I16" s="14">
        <v>3</v>
      </c>
      <c r="J16" s="14">
        <v>0</v>
      </c>
      <c r="K16" s="14">
        <v>1.7</v>
      </c>
      <c r="L16" s="14">
        <v>0</v>
      </c>
      <c r="M16" s="14">
        <v>0</v>
      </c>
      <c r="N16" s="14">
        <v>32.1</v>
      </c>
      <c r="O16" s="14">
        <v>200</v>
      </c>
      <c r="P16" s="51">
        <v>0.33819444444444446</v>
      </c>
      <c r="Q16" s="10"/>
      <c r="R16" s="41"/>
      <c r="S16" s="30">
        <f t="shared" si="3"/>
        <v>6.4860000000000007</v>
      </c>
      <c r="T16" s="30">
        <v>10</v>
      </c>
      <c r="U16" s="30">
        <f t="shared" si="4"/>
        <v>0.19999999999999574</v>
      </c>
      <c r="V16" s="30">
        <f t="shared" si="13"/>
        <v>0.17308209959622781</v>
      </c>
      <c r="W16" s="30">
        <f t="shared" si="5"/>
        <v>2.691790040376793E-2</v>
      </c>
      <c r="X16" s="30">
        <f>V16+V15+V14+V13+V12+V11+V10+V9+V8+V7+V6</f>
        <v>3.8078061911170913</v>
      </c>
      <c r="Y16" s="30">
        <f t="shared" si="14"/>
        <v>1.0921938088829091</v>
      </c>
      <c r="Z16" s="30">
        <f t="shared" si="6"/>
        <v>6.5129179004037683</v>
      </c>
      <c r="AA16" s="31">
        <f t="shared" si="7"/>
        <v>0.16769654179353291</v>
      </c>
      <c r="AC16" s="18"/>
      <c r="AD16" s="18"/>
      <c r="AE16" s="24"/>
      <c r="AF16" s="25"/>
      <c r="AG16" s="19">
        <v>4</v>
      </c>
      <c r="AH16" s="19">
        <f t="shared" si="8"/>
        <v>0</v>
      </c>
      <c r="AI16" s="19">
        <f t="shared" si="0"/>
        <v>76</v>
      </c>
      <c r="AJ16" s="21">
        <v>0.28699999999999998</v>
      </c>
      <c r="AK16" s="19">
        <f t="shared" si="9"/>
        <v>4.9141345399999994E-2</v>
      </c>
      <c r="AL16" s="19">
        <f t="shared" si="10"/>
        <v>5.3938061911170925</v>
      </c>
      <c r="AM16" s="19">
        <f t="shared" si="11"/>
        <v>131.98661833951337</v>
      </c>
      <c r="AN16" s="19">
        <f t="shared" si="1"/>
        <v>109.76106061428861</v>
      </c>
      <c r="AO16" s="19">
        <f t="shared" si="12"/>
        <v>0.20148485524126336</v>
      </c>
      <c r="AP16" s="19">
        <f t="shared" si="2"/>
        <v>131.98661833951337</v>
      </c>
      <c r="AQ16" s="35"/>
      <c r="AS16" s="48"/>
      <c r="AT16" s="48"/>
      <c r="AU16" s="48"/>
      <c r="AV16" s="48"/>
      <c r="AW16" s="10"/>
    </row>
    <row r="17" spans="2:49" x14ac:dyDescent="0.25">
      <c r="B17" s="15" t="s">
        <v>150</v>
      </c>
      <c r="C17" s="13">
        <v>17.399999999999999</v>
      </c>
      <c r="D17" s="14">
        <v>9</v>
      </c>
      <c r="E17" s="14">
        <v>9</v>
      </c>
      <c r="F17" s="14">
        <v>9</v>
      </c>
      <c r="G17" s="14">
        <v>20</v>
      </c>
      <c r="H17" s="14">
        <v>6.3</v>
      </c>
      <c r="I17" s="14">
        <v>2</v>
      </c>
      <c r="J17" s="14">
        <v>0</v>
      </c>
      <c r="K17" s="14">
        <v>1.7</v>
      </c>
      <c r="L17" s="14">
        <v>0</v>
      </c>
      <c r="M17" s="14">
        <v>0</v>
      </c>
      <c r="N17" s="14">
        <v>31.9</v>
      </c>
      <c r="O17" s="14">
        <v>200</v>
      </c>
      <c r="P17" s="51">
        <v>0.33194444444444443</v>
      </c>
      <c r="Q17" s="10"/>
      <c r="R17" s="41"/>
      <c r="S17" s="30">
        <f t="shared" si="3"/>
        <v>6.2859999999999978</v>
      </c>
      <c r="T17" s="30">
        <v>11</v>
      </c>
      <c r="U17" s="30">
        <f t="shared" si="4"/>
        <v>0.20000000000000284</v>
      </c>
      <c r="V17" s="30">
        <f t="shared" si="13"/>
        <v>0.17308209959623394</v>
      </c>
      <c r="W17" s="30">
        <f t="shared" si="5"/>
        <v>2.6917900403768902E-2</v>
      </c>
      <c r="X17" s="30">
        <f>V17+V16+V15+V14+V13+V12+V11+V10+V9+V8+V7+V6</f>
        <v>3.9808882907133256</v>
      </c>
      <c r="Y17" s="30">
        <f t="shared" si="14"/>
        <v>0.91911170928667474</v>
      </c>
      <c r="Z17" s="30">
        <f t="shared" si="6"/>
        <v>6.3129179004037663</v>
      </c>
      <c r="AA17" s="31">
        <f t="shared" si="7"/>
        <v>0.14559221643416106</v>
      </c>
      <c r="AC17" s="18"/>
      <c r="AD17" s="18"/>
      <c r="AE17" s="24"/>
      <c r="AF17" s="25"/>
      <c r="AG17" s="19">
        <v>4</v>
      </c>
      <c r="AH17" s="19">
        <f t="shared" si="8"/>
        <v>0</v>
      </c>
      <c r="AI17" s="19">
        <f t="shared" si="0"/>
        <v>76</v>
      </c>
      <c r="AJ17" s="21">
        <v>0.28699999999999998</v>
      </c>
      <c r="AK17" s="19">
        <f t="shared" si="9"/>
        <v>4.9141345399999994E-2</v>
      </c>
      <c r="AL17" s="19">
        <f t="shared" si="10"/>
        <v>5.366888290713324</v>
      </c>
      <c r="AM17" s="19">
        <f t="shared" si="11"/>
        <v>127.9167256987636</v>
      </c>
      <c r="AN17" s="19">
        <f t="shared" si="1"/>
        <v>109.21329579049996</v>
      </c>
      <c r="AO17" s="19">
        <f t="shared" si="12"/>
        <v>0.17040132268755487</v>
      </c>
      <c r="AP17" s="19">
        <f t="shared" si="2"/>
        <v>127.9167256987636</v>
      </c>
      <c r="AQ17" s="35"/>
      <c r="AS17" s="48"/>
      <c r="AT17" s="48"/>
      <c r="AU17" s="48"/>
      <c r="AV17" s="48"/>
      <c r="AW17" s="10"/>
    </row>
    <row r="18" spans="2:49" x14ac:dyDescent="0.25">
      <c r="B18" s="12" t="s">
        <v>151</v>
      </c>
      <c r="C18" s="13">
        <v>19.600000000000001</v>
      </c>
      <c r="D18" s="14">
        <v>10</v>
      </c>
      <c r="E18" s="14">
        <v>10</v>
      </c>
      <c r="F18" s="14">
        <v>10</v>
      </c>
      <c r="G18" s="14">
        <v>20</v>
      </c>
      <c r="H18" s="14">
        <v>10</v>
      </c>
      <c r="I18" s="14">
        <v>3</v>
      </c>
      <c r="J18" s="14">
        <v>0</v>
      </c>
      <c r="K18" s="14">
        <v>1.6</v>
      </c>
      <c r="L18" s="14">
        <v>0</v>
      </c>
      <c r="M18" s="14">
        <v>0</v>
      </c>
      <c r="N18" s="14">
        <v>31.8</v>
      </c>
      <c r="O18" s="14">
        <v>100</v>
      </c>
      <c r="P18" s="51">
        <v>0.31736111111111115</v>
      </c>
      <c r="Q18" s="10"/>
      <c r="R18" s="41"/>
      <c r="S18" s="30">
        <f t="shared" si="3"/>
        <v>6.1859999999999999</v>
      </c>
      <c r="T18" s="30">
        <v>12</v>
      </c>
      <c r="U18" s="30">
        <f t="shared" si="4"/>
        <v>9.9999999999997868E-2</v>
      </c>
      <c r="V18" s="30">
        <f t="shared" si="13"/>
        <v>8.6541049798113903E-2</v>
      </c>
      <c r="W18" s="30">
        <f t="shared" si="5"/>
        <v>1.3458950201883965E-2</v>
      </c>
      <c r="X18" s="30">
        <f>V18+V17+V16+V15+V14+V13+V12+V11+V10+V9+V8+V7+V6</f>
        <v>4.0674293405114392</v>
      </c>
      <c r="Y18" s="30">
        <f t="shared" si="14"/>
        <v>0.83257065948856113</v>
      </c>
      <c r="Z18" s="30">
        <f t="shared" si="6"/>
        <v>6.1994589502018842</v>
      </c>
      <c r="AA18" s="31">
        <f t="shared" si="7"/>
        <v>0.13429730984208688</v>
      </c>
      <c r="AC18" s="18"/>
      <c r="AD18" s="18"/>
      <c r="AE18" s="24"/>
      <c r="AF18" s="25"/>
      <c r="AG18" s="19">
        <v>5</v>
      </c>
      <c r="AH18" s="19">
        <f t="shared" si="8"/>
        <v>1</v>
      </c>
      <c r="AI18" s="19">
        <f t="shared" si="0"/>
        <v>75</v>
      </c>
      <c r="AJ18" s="21">
        <v>0.28699999999999998</v>
      </c>
      <c r="AK18" s="19">
        <f t="shared" si="9"/>
        <v>4.8494748749999997E-2</v>
      </c>
      <c r="AL18" s="19">
        <f t="shared" si="10"/>
        <v>5.3534293405114397</v>
      </c>
      <c r="AM18" s="19">
        <f t="shared" si="11"/>
        <v>127.56020310343396</v>
      </c>
      <c r="AN18" s="19">
        <f t="shared" si="1"/>
        <v>110.39193889032036</v>
      </c>
      <c r="AO18" s="19">
        <f t="shared" si="12"/>
        <v>0.15513098361469763</v>
      </c>
      <c r="AP18" s="19">
        <f t="shared" si="2"/>
        <v>127.56020310343396</v>
      </c>
      <c r="AQ18" s="35"/>
      <c r="AS18" s="48"/>
      <c r="AT18" s="48"/>
      <c r="AU18" s="48"/>
      <c r="AV18" s="48"/>
      <c r="AW18" s="10"/>
    </row>
    <row r="19" spans="2:49" x14ac:dyDescent="0.25">
      <c r="B19" s="12" t="s">
        <v>152</v>
      </c>
      <c r="C19" s="13">
        <v>16.899999999999999</v>
      </c>
      <c r="D19" s="14">
        <v>10</v>
      </c>
      <c r="E19" s="14">
        <v>10</v>
      </c>
      <c r="F19" s="14">
        <v>10</v>
      </c>
      <c r="G19" s="14">
        <v>20</v>
      </c>
      <c r="H19" s="14">
        <v>5.4</v>
      </c>
      <c r="I19" s="14">
        <v>2</v>
      </c>
      <c r="J19" s="14">
        <v>0</v>
      </c>
      <c r="K19" s="14">
        <v>1.7</v>
      </c>
      <c r="L19" s="14">
        <v>0</v>
      </c>
      <c r="M19" s="14">
        <v>0</v>
      </c>
      <c r="N19" s="14">
        <v>31.7</v>
      </c>
      <c r="O19" s="14">
        <v>100</v>
      </c>
      <c r="P19" s="51">
        <v>0.32361111111111113</v>
      </c>
      <c r="Q19" s="10"/>
      <c r="R19" s="41"/>
      <c r="S19" s="30">
        <f t="shared" si="3"/>
        <v>6.0859999999999985</v>
      </c>
      <c r="T19" s="30">
        <v>13</v>
      </c>
      <c r="U19" s="30">
        <f t="shared" si="4"/>
        <v>0.10000000000000142</v>
      </c>
      <c r="V19" s="30">
        <f t="shared" si="13"/>
        <v>8.654104979811697E-2</v>
      </c>
      <c r="W19" s="30">
        <f t="shared" si="5"/>
        <v>1.3458950201884451E-2</v>
      </c>
      <c r="X19" s="30">
        <f>V19+V18+V17+V16+V15+V14+V13+V12+V11+V10+V9+V8+V7+V6</f>
        <v>4.1539703903095564</v>
      </c>
      <c r="Y19" s="30">
        <f t="shared" si="14"/>
        <v>0.74602960969044396</v>
      </c>
      <c r="Z19" s="30">
        <f t="shared" si="6"/>
        <v>6.0994589502018828</v>
      </c>
      <c r="AA19" s="31">
        <f t="shared" si="7"/>
        <v>0.12231078457635189</v>
      </c>
      <c r="AC19" s="18"/>
      <c r="AD19" s="18"/>
      <c r="AG19" s="19">
        <v>5</v>
      </c>
      <c r="AH19" s="19">
        <f t="shared" si="8"/>
        <v>0</v>
      </c>
      <c r="AI19" s="19">
        <f t="shared" si="0"/>
        <v>76</v>
      </c>
      <c r="AJ19" s="21">
        <v>0.28699999999999998</v>
      </c>
      <c r="AK19" s="19">
        <f t="shared" si="9"/>
        <v>4.9141345399999994E-2</v>
      </c>
      <c r="AL19" s="19">
        <f t="shared" si="10"/>
        <v>5.3399703903095554</v>
      </c>
      <c r="AM19" s="19">
        <f t="shared" si="11"/>
        <v>123.8468330580139</v>
      </c>
      <c r="AN19" s="19">
        <f t="shared" si="1"/>
        <v>108.6655309667113</v>
      </c>
      <c r="AO19" s="19">
        <f t="shared" si="12"/>
        <v>0.13935546025515902</v>
      </c>
      <c r="AP19" s="19">
        <f t="shared" si="2"/>
        <v>123.8468330580139</v>
      </c>
      <c r="AQ19" s="35"/>
      <c r="AS19" s="48"/>
      <c r="AT19" s="48"/>
      <c r="AU19" s="48"/>
      <c r="AV19" s="48"/>
      <c r="AW19" s="10"/>
    </row>
    <row r="20" spans="2:49" x14ac:dyDescent="0.25">
      <c r="B20" s="12" t="s">
        <v>153</v>
      </c>
      <c r="C20" s="13">
        <v>17.3</v>
      </c>
      <c r="D20" s="13">
        <v>10</v>
      </c>
      <c r="E20" s="13">
        <v>10</v>
      </c>
      <c r="F20" s="13">
        <v>10</v>
      </c>
      <c r="G20" s="14">
        <v>20</v>
      </c>
      <c r="H20" s="14">
        <v>5.5</v>
      </c>
      <c r="I20" s="14">
        <v>2</v>
      </c>
      <c r="J20" s="14">
        <v>0</v>
      </c>
      <c r="K20" s="14">
        <v>1.7</v>
      </c>
      <c r="L20" s="14">
        <v>0</v>
      </c>
      <c r="M20" s="14">
        <v>0</v>
      </c>
      <c r="N20" s="52">
        <v>31.6</v>
      </c>
      <c r="O20" s="14">
        <v>100</v>
      </c>
      <c r="P20" s="51">
        <v>0.31458333333333333</v>
      </c>
      <c r="Q20" s="39"/>
      <c r="R20" s="41"/>
      <c r="S20" s="30">
        <f t="shared" si="3"/>
        <v>5.9860000000000007</v>
      </c>
      <c r="T20" s="30">
        <v>14</v>
      </c>
      <c r="U20" s="30">
        <f t="shared" si="4"/>
        <v>9.9999999999997868E-2</v>
      </c>
      <c r="V20" s="30">
        <f t="shared" si="13"/>
        <v>8.6541049798113903E-2</v>
      </c>
      <c r="W20" s="30">
        <f t="shared" si="5"/>
        <v>1.3458950201883965E-2</v>
      </c>
      <c r="X20" s="30">
        <f>V20+V19+V18+V17+V16+V15+V14+V13+V12+V11+V10+V9+V8+V7</f>
        <v>4.24051144010767</v>
      </c>
      <c r="Y20" s="30">
        <f t="shared" si="14"/>
        <v>0.65948855989233035</v>
      </c>
      <c r="Z20" s="30">
        <f t="shared" si="6"/>
        <v>5.9994589502018849</v>
      </c>
      <c r="AA20" s="31">
        <f t="shared" si="7"/>
        <v>0.10992467243569326</v>
      </c>
      <c r="AG20" s="19">
        <v>5</v>
      </c>
      <c r="AH20" s="19">
        <f t="shared" si="8"/>
        <v>0</v>
      </c>
      <c r="AI20" s="19">
        <f t="shared" si="0"/>
        <v>76</v>
      </c>
      <c r="AJ20" s="21">
        <v>1.2869999999999999</v>
      </c>
      <c r="AK20" s="19">
        <f t="shared" si="9"/>
        <v>4.9141345399999994E-2</v>
      </c>
      <c r="AL20" s="19">
        <f t="shared" si="10"/>
        <v>5.3265114401076712</v>
      </c>
      <c r="AM20" s="19">
        <f t="shared" si="11"/>
        <v>121.81188673763909</v>
      </c>
      <c r="AN20" s="19">
        <f t="shared" si="1"/>
        <v>108.39164855481698</v>
      </c>
      <c r="AO20" s="19">
        <f t="shared" si="12"/>
        <v>0.12350041511262018</v>
      </c>
      <c r="AP20" s="19">
        <f t="shared" si="2"/>
        <v>121.81188673763909</v>
      </c>
      <c r="AQ20" s="35"/>
      <c r="AS20" s="47"/>
      <c r="AT20" s="47"/>
      <c r="AU20" s="47"/>
      <c r="AV20" s="10"/>
      <c r="AW20" s="10"/>
    </row>
    <row r="21" spans="2:49" x14ac:dyDescent="0.25">
      <c r="B21" s="12" t="s">
        <v>154</v>
      </c>
      <c r="C21" s="13">
        <v>18.899999999999999</v>
      </c>
      <c r="D21" s="14">
        <v>10</v>
      </c>
      <c r="E21" s="14">
        <v>10</v>
      </c>
      <c r="F21" s="14">
        <v>10</v>
      </c>
      <c r="G21" s="14">
        <v>20</v>
      </c>
      <c r="H21" s="14">
        <v>5.9</v>
      </c>
      <c r="I21" s="14">
        <v>3</v>
      </c>
      <c r="J21" s="14">
        <v>1</v>
      </c>
      <c r="K21" s="14">
        <v>1.7</v>
      </c>
      <c r="L21" s="14">
        <v>0</v>
      </c>
      <c r="M21" s="14">
        <v>0</v>
      </c>
      <c r="N21" s="14">
        <v>31.5</v>
      </c>
      <c r="O21" s="14">
        <v>100</v>
      </c>
      <c r="P21" s="46">
        <v>0.3298611111111111</v>
      </c>
      <c r="Q21" s="10"/>
      <c r="R21" s="42"/>
      <c r="S21" s="30">
        <f t="shared" si="3"/>
        <v>5.8859999999999992</v>
      </c>
      <c r="T21" s="30">
        <v>15</v>
      </c>
      <c r="U21" s="30">
        <f t="shared" si="4"/>
        <v>0.10000000000000142</v>
      </c>
      <c r="V21" s="30">
        <f t="shared" si="13"/>
        <v>8.654104979811697E-2</v>
      </c>
      <c r="W21" s="30">
        <f t="shared" ref="W21" si="15">U21-V21</f>
        <v>1.3458950201884451E-2</v>
      </c>
      <c r="X21" s="30">
        <f>V21+V20+V19+V18+V17+V16+V15+V14+V13+V12+V11+V10+V9+V8</f>
        <v>3.9808882907133252</v>
      </c>
      <c r="Y21" s="30">
        <f t="shared" si="14"/>
        <v>0.91911170928667518</v>
      </c>
      <c r="Z21" s="30">
        <f t="shared" ref="Z21" si="16">S20-V21</f>
        <v>5.8994589502018835</v>
      </c>
      <c r="AA21" s="31">
        <f t="shared" ref="AA21" si="17">Y21/Z21</f>
        <v>0.15579593265162436</v>
      </c>
      <c r="AE21" s="26" t="s">
        <v>310</v>
      </c>
      <c r="AF21" s="27">
        <v>1310</v>
      </c>
      <c r="AG21" s="19">
        <v>5</v>
      </c>
      <c r="AH21" s="19">
        <f t="shared" ref="AH21" si="18">AG21-AG20</f>
        <v>0</v>
      </c>
      <c r="AI21" s="19">
        <f t="shared" ref="AI21" si="19">$AI$2-AH21</f>
        <v>76</v>
      </c>
      <c r="AJ21" s="21">
        <v>2.2869999999999999</v>
      </c>
      <c r="AK21" s="19">
        <f t="shared" ref="AK21" si="20">((($AJ$6*$AJ$6)*3.14)/4)*(AI21/100)</f>
        <v>4.9141345399999994E-2</v>
      </c>
      <c r="AL21" s="19">
        <f t="shared" ref="AL21" si="21">AL20-W21</f>
        <v>5.3130524899057869</v>
      </c>
      <c r="AM21" s="19">
        <f t="shared" ref="AM21" si="22">S21/AK21</f>
        <v>119.7769404172642</v>
      </c>
      <c r="AN21" s="19">
        <f t="shared" ref="AN21" si="23">AL21/AK21</f>
        <v>108.11776614292265</v>
      </c>
      <c r="AO21" s="19">
        <f t="shared" ref="AO21" si="24">(AA21/(1-AA21))</f>
        <v>0.18454771621863372</v>
      </c>
      <c r="AP21" s="19">
        <f t="shared" ref="AP21" si="25">AM21/(1+AQ21)</f>
        <v>119.7769404172642</v>
      </c>
      <c r="AQ21" s="35"/>
      <c r="AS21" s="48"/>
      <c r="AT21" s="48"/>
      <c r="AU21" s="48"/>
      <c r="AV21" s="10"/>
    </row>
    <row r="22" spans="2:49" x14ac:dyDescent="0.25">
      <c r="Q22" s="10"/>
      <c r="R22" s="42"/>
      <c r="AQ22" s="35"/>
      <c r="AT22" s="10"/>
      <c r="AU22" s="10"/>
      <c r="AV22" s="10"/>
    </row>
    <row r="23" spans="2:49" x14ac:dyDescent="0.25">
      <c r="B23" s="63" t="s">
        <v>303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10"/>
      <c r="R23" s="42"/>
      <c r="S23" s="63" t="s">
        <v>305</v>
      </c>
      <c r="T23" s="63"/>
      <c r="U23" s="63"/>
      <c r="V23" s="63"/>
      <c r="W23" s="63"/>
      <c r="X23" s="63"/>
      <c r="Y23" s="63"/>
      <c r="Z23" s="63"/>
      <c r="AA23" s="63"/>
      <c r="AG23" s="63" t="s">
        <v>305</v>
      </c>
      <c r="AH23" s="63"/>
      <c r="AI23" s="63"/>
      <c r="AJ23" s="63"/>
      <c r="AK23" s="63"/>
      <c r="AL23" s="63"/>
      <c r="AM23" s="63"/>
      <c r="AN23" s="63"/>
      <c r="AO23" s="63"/>
      <c r="AP23" s="63"/>
      <c r="AQ23" s="35"/>
      <c r="AT23" s="10"/>
      <c r="AU23" s="10"/>
      <c r="AV23" s="10"/>
    </row>
    <row r="24" spans="2:49" x14ac:dyDescent="0.25">
      <c r="B24" s="39"/>
      <c r="C24" s="3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42"/>
      <c r="Q24" s="10"/>
      <c r="R24" s="42"/>
      <c r="AG24" s="19"/>
      <c r="AH24" s="19"/>
      <c r="AI24" s="19"/>
      <c r="AJ24" s="21"/>
      <c r="AK24" s="19"/>
      <c r="AL24" s="19"/>
      <c r="AM24" s="19"/>
      <c r="AN24" s="19"/>
      <c r="AO24" s="19"/>
      <c r="AP24" s="19"/>
      <c r="AQ24" s="35"/>
      <c r="AT24" s="10"/>
      <c r="AU24" s="10"/>
      <c r="AV24" s="10"/>
    </row>
    <row r="25" spans="2:49" x14ac:dyDescent="0.25">
      <c r="B25" s="39"/>
      <c r="C25" s="3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42"/>
      <c r="Q25" s="10"/>
      <c r="R25" s="42"/>
      <c r="S25" t="s">
        <v>313</v>
      </c>
      <c r="X25" s="8">
        <v>4.9000000000000004</v>
      </c>
      <c r="Y25" s="30"/>
      <c r="Z25" s="30"/>
      <c r="AA25" s="31"/>
      <c r="AG25" s="19"/>
      <c r="AH25" s="19"/>
      <c r="AI25" s="19"/>
      <c r="AJ25" s="21"/>
      <c r="AK25" s="19"/>
      <c r="AL25" s="19"/>
      <c r="AM25" s="19"/>
      <c r="AN25" s="19"/>
      <c r="AO25" s="19"/>
      <c r="AP25" s="19"/>
      <c r="AQ25" s="35"/>
      <c r="AT25" s="10"/>
      <c r="AU25" s="10"/>
      <c r="AV25" s="10"/>
    </row>
    <row r="26" spans="2:49" x14ac:dyDescent="0.25">
      <c r="B26" s="39"/>
      <c r="C26" s="3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2"/>
      <c r="Q26" s="10"/>
      <c r="R26" s="42"/>
      <c r="S26" t="s">
        <v>312</v>
      </c>
      <c r="X26" s="8">
        <v>0.49299999999999999</v>
      </c>
      <c r="Y26" s="30"/>
      <c r="Z26" s="30"/>
      <c r="AA26" s="31"/>
      <c r="AG26" s="19"/>
      <c r="AH26" s="19"/>
      <c r="AI26" s="19"/>
      <c r="AJ26" s="21"/>
      <c r="AK26" s="19"/>
      <c r="AL26" s="19"/>
      <c r="AM26" s="19"/>
      <c r="AN26" s="19"/>
      <c r="AO26" s="19"/>
      <c r="AP26" s="19"/>
      <c r="AQ26" s="35"/>
      <c r="AT26" s="10"/>
      <c r="AU26" s="10"/>
      <c r="AV26" s="10"/>
    </row>
    <row r="27" spans="2:49" x14ac:dyDescent="0.25">
      <c r="B27" s="39"/>
      <c r="C27" s="3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42"/>
      <c r="S27" t="s">
        <v>311</v>
      </c>
      <c r="X27" s="8">
        <f>S6-S21</f>
        <v>5</v>
      </c>
      <c r="Y27" s="30"/>
      <c r="Z27" s="30"/>
      <c r="AA27" s="31"/>
      <c r="AG27" s="19"/>
      <c r="AH27" s="19"/>
      <c r="AI27" s="19"/>
      <c r="AJ27" s="21"/>
      <c r="AK27" s="19"/>
      <c r="AL27" s="19"/>
      <c r="AM27" s="19"/>
      <c r="AN27" s="19"/>
      <c r="AO27" s="19"/>
      <c r="AP27" s="19"/>
      <c r="AQ27" s="35"/>
      <c r="AT27" s="10"/>
      <c r="AU27" s="10"/>
      <c r="AV27" s="10"/>
    </row>
    <row r="28" spans="2:49" x14ac:dyDescent="0.25">
      <c r="S28" t="s">
        <v>314</v>
      </c>
      <c r="X28" s="8">
        <f>X25-X26</f>
        <v>4.407</v>
      </c>
      <c r="Y28" s="30"/>
      <c r="Z28" s="30"/>
      <c r="AA28" s="31"/>
      <c r="AQ28" s="35"/>
    </row>
    <row r="29" spans="2:49" x14ac:dyDescent="0.25">
      <c r="S29" t="s">
        <v>315</v>
      </c>
      <c r="X29" s="8">
        <f>X27-X28</f>
        <v>0.59299999999999997</v>
      </c>
      <c r="AQ29" s="35"/>
    </row>
    <row r="30" spans="2:49" x14ac:dyDescent="0.25">
      <c r="AQ30" s="35"/>
    </row>
    <row r="31" spans="2:49" x14ac:dyDescent="0.25">
      <c r="S31" t="s">
        <v>316</v>
      </c>
      <c r="X31" s="29">
        <f>X28/X29</f>
        <v>7.431703204047218</v>
      </c>
      <c r="AQ31" s="35"/>
    </row>
    <row r="32" spans="2:49" x14ac:dyDescent="0.25">
      <c r="AQ32" s="35"/>
    </row>
    <row r="33" spans="1:43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4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8"/>
    </row>
    <row r="35" spans="1:43" x14ac:dyDescent="0.25">
      <c r="Y35" s="18"/>
    </row>
    <row r="55" spans="30:32" x14ac:dyDescent="0.25">
      <c r="AD55" s="10"/>
      <c r="AE55" s="10"/>
      <c r="AF55" s="10"/>
    </row>
    <row r="56" spans="30:32" x14ac:dyDescent="0.25">
      <c r="AD56" s="10"/>
      <c r="AE56" s="10"/>
      <c r="AF56" s="10"/>
    </row>
    <row r="57" spans="30:32" x14ac:dyDescent="0.25">
      <c r="AD57" s="10"/>
      <c r="AE57" s="10"/>
      <c r="AF57" s="10"/>
    </row>
    <row r="58" spans="30:32" x14ac:dyDescent="0.25">
      <c r="AD58" s="10"/>
      <c r="AE58" s="10"/>
      <c r="AF58" s="10"/>
    </row>
    <row r="59" spans="30:32" x14ac:dyDescent="0.25">
      <c r="AD59" s="10"/>
      <c r="AE59" s="10"/>
      <c r="AF59" s="10"/>
    </row>
    <row r="60" spans="30:32" x14ac:dyDescent="0.25">
      <c r="AD60" s="10"/>
      <c r="AE60" s="10"/>
      <c r="AF60" s="10"/>
    </row>
    <row r="61" spans="30:32" x14ac:dyDescent="0.25">
      <c r="AD61" s="10"/>
      <c r="AE61" s="10"/>
      <c r="AF61" s="10"/>
    </row>
    <row r="62" spans="30:32" x14ac:dyDescent="0.25">
      <c r="AD62" s="10"/>
      <c r="AE62" s="10"/>
      <c r="AF62" s="10"/>
    </row>
    <row r="63" spans="30:32" x14ac:dyDescent="0.25">
      <c r="AD63" s="10"/>
      <c r="AE63" s="10"/>
      <c r="AF63" s="10"/>
    </row>
    <row r="64" spans="30:32" x14ac:dyDescent="0.25">
      <c r="AD64" s="10"/>
      <c r="AE64" s="10"/>
      <c r="AF64" s="10"/>
    </row>
    <row r="65" spans="30:32" x14ac:dyDescent="0.25">
      <c r="AD65" s="10"/>
      <c r="AF65" s="10"/>
    </row>
    <row r="66" spans="30:32" x14ac:dyDescent="0.25">
      <c r="AD66" s="10"/>
      <c r="AF66" s="10"/>
    </row>
    <row r="67" spans="30:32" x14ac:dyDescent="0.25">
      <c r="AD67" s="10"/>
      <c r="AF67" s="10"/>
    </row>
    <row r="68" spans="30:32" x14ac:dyDescent="0.25">
      <c r="AD68" s="10"/>
      <c r="AF68" s="10"/>
    </row>
    <row r="69" spans="30:32" x14ac:dyDescent="0.25">
      <c r="AD69" s="10"/>
      <c r="AF69" s="1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10" spans="46:46" x14ac:dyDescent="0.25">
      <c r="AT410" s="7"/>
    </row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54" spans="46:46" x14ac:dyDescent="0.25">
      <c r="AT554" s="7"/>
    </row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84" spans="46:46" x14ac:dyDescent="0.25">
      <c r="AT684" s="7"/>
    </row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</sheetData>
  <mergeCells count="3">
    <mergeCell ref="B23:P23"/>
    <mergeCell ref="S23:AA23"/>
    <mergeCell ref="AG23:AP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Pokus broj 1.</vt:lpstr>
      <vt:lpstr>Pokus broj 2.</vt:lpstr>
      <vt:lpstr>Pokus broj 3.</vt:lpstr>
      <vt:lpstr>Pokus broj 4.</vt:lpstr>
      <vt:lpstr>Pokus broj 5.</vt:lpstr>
      <vt:lpstr>Pokus broj 6.</vt:lpstr>
      <vt:lpstr>Pokus broj 7.</vt:lpstr>
      <vt:lpstr>Pokus broj 8.</vt:lpstr>
      <vt:lpstr>Pokus broj 9.</vt:lpstr>
      <vt:lpstr>Pokus broj 10.</vt:lpstr>
      <vt:lpstr>Pokus broj 11.</vt:lpstr>
      <vt:lpstr>Pokus broj 12.</vt:lpstr>
      <vt:lpstr>Pokus broj 13.</vt:lpstr>
      <vt:lpstr>Pokus br. 14.</vt:lpstr>
      <vt:lpstr>Pokus br. 15.</vt:lpstr>
      <vt:lpstr>Pokus br. 16</vt:lpstr>
      <vt:lpstr>Pokus br. 17</vt:lpstr>
      <vt:lpstr>Pokus br.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Dino Bosilj</dc:creator>
  <cp:lastModifiedBy>Igor Petrović</cp:lastModifiedBy>
  <cp:lastPrinted>2023-11-03T21:04:31Z</cp:lastPrinted>
  <dcterms:created xsi:type="dcterms:W3CDTF">2021-09-01T16:59:32Z</dcterms:created>
  <dcterms:modified xsi:type="dcterms:W3CDTF">2024-11-08T12:43:26Z</dcterms:modified>
</cp:coreProperties>
</file>